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G:\האחסון שלי\מירי דרייב\נגיש\עמק הירדן\"/>
    </mc:Choice>
  </mc:AlternateContent>
  <xr:revisionPtr revIDLastSave="0" documentId="8_{84CA3BE0-C739-4A3E-B8B8-5ABC7876F81B}" xr6:coauthVersionLast="47" xr6:coauthVersionMax="47" xr10:uidLastSave="{00000000-0000-0000-0000-000000000000}"/>
  <bookViews>
    <workbookView xWindow="-120" yWindow="-120" windowWidth="25440" windowHeight="15390" tabRatio="601" firstSheet="2" activeTab="2" xr2:uid="{00000000-000D-0000-FFFF-FFFF00000000}"/>
  </bookViews>
  <sheets>
    <sheet name="StageData" sheetId="6" state="hidden" r:id="rId1"/>
    <sheet name="AuctionDetails" sheetId="8" state="hidden" r:id="rId2"/>
    <sheet name="הצעות מחיר למתן שירותי היסעים ו" sheetId="9" r:id="rId3"/>
    <sheet name="אשכולות" sheetId="10" r:id="rId4"/>
    <sheet name="מסלולים " sheetId="12" r:id="rId5"/>
    <sheet name="גיליון1" sheetId="13" r:id="rId6"/>
    <sheet name="LT" sheetId="11" state="hidden" r:id="rId7"/>
  </sheets>
  <externalReferences>
    <externalReference r:id="rId8"/>
  </externalReferences>
  <definedNames>
    <definedName name="_xlnm._FilterDatabase" localSheetId="6">LT!$A$2:$C$14</definedName>
    <definedName name="_xlnm.Print_Area" localSheetId="3">אשכולות!$A$1:$AX$52</definedName>
    <definedName name="_xlnm.Print_Area" localSheetId="2">'הצעות מחיר למתן שירותי היסעים ו'!$A$1:$K$39</definedName>
    <definedName name="_xlnm.Print_Area" localSheetId="4">'מסלולים '!$A$1:$AX$9</definedName>
    <definedName name="_xlnm.Print_Titles" localSheetId="3">אשכולות!$1:$2</definedName>
    <definedName name="_xlnm.Print_Titles" localSheetId="4">'מסלולים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4" i="9" l="1"/>
  <c r="Y8" i="12"/>
  <c r="Y4" i="12"/>
  <c r="AA4" i="12" s="1"/>
  <c r="Y7" i="12"/>
  <c r="AA7" i="12" s="1"/>
  <c r="A36" i="9"/>
  <c r="B31" i="9"/>
  <c r="B26" i="9"/>
  <c r="B21" i="9"/>
  <c r="A14" i="9"/>
  <c r="A11" i="9"/>
  <c r="AV8" i="12"/>
  <c r="AT8" i="12"/>
  <c r="AQ8" i="12"/>
  <c r="AN8" i="12"/>
  <c r="T8" i="12"/>
  <c r="K8" i="12"/>
  <c r="C8" i="12"/>
  <c r="AV7" i="12"/>
  <c r="AT7" i="12"/>
  <c r="AQ7" i="12"/>
  <c r="AN7" i="12"/>
  <c r="T7" i="12"/>
  <c r="K7" i="12"/>
  <c r="C7" i="12"/>
  <c r="AV6" i="12"/>
  <c r="AT6" i="12"/>
  <c r="AQ6" i="12"/>
  <c r="Y6" i="12" s="1"/>
  <c r="AA6" i="12" s="1"/>
  <c r="AN6" i="12"/>
  <c r="T6" i="12"/>
  <c r="K6" i="12"/>
  <c r="C6" i="12"/>
  <c r="AV5" i="12"/>
  <c r="Y5" i="12" s="1"/>
  <c r="AA5" i="12" s="1"/>
  <c r="AT5" i="12"/>
  <c r="AQ5" i="12"/>
  <c r="AN5" i="12"/>
  <c r="T5" i="12"/>
  <c r="K5" i="12"/>
  <c r="C5" i="12"/>
  <c r="AV4" i="12"/>
  <c r="AT4" i="12"/>
  <c r="AQ4" i="12"/>
  <c r="AN4" i="12"/>
  <c r="T4" i="12"/>
  <c r="K4" i="12"/>
  <c r="C4" i="12"/>
  <c r="AV3" i="12"/>
  <c r="AT3" i="12"/>
  <c r="AQ3" i="12"/>
  <c r="Y3" i="12" s="1"/>
  <c r="AA3" i="12" s="1"/>
  <c r="AN3" i="12"/>
  <c r="T3" i="12"/>
  <c r="K3" i="12"/>
  <c r="C3" i="12"/>
  <c r="A1" i="12"/>
  <c r="AQ50" i="10"/>
  <c r="AN50" i="10"/>
  <c r="T50" i="10"/>
  <c r="K50" i="10"/>
  <c r="C50" i="10"/>
  <c r="T49" i="10"/>
  <c r="K49" i="10"/>
  <c r="C49" i="10"/>
  <c r="T47" i="10"/>
  <c r="K47" i="10"/>
  <c r="C47" i="10"/>
  <c r="T46" i="10"/>
  <c r="K46" i="10"/>
  <c r="C46" i="10"/>
  <c r="AV44" i="10"/>
  <c r="AT44" i="10"/>
  <c r="AI44" i="10"/>
  <c r="T44" i="10"/>
  <c r="K44" i="10"/>
  <c r="C44" i="10"/>
  <c r="AT43" i="10"/>
  <c r="AQ43" i="10"/>
  <c r="AF43" i="10"/>
  <c r="Y43" i="10" s="1"/>
  <c r="T43" i="10"/>
  <c r="K43" i="10"/>
  <c r="C43" i="10"/>
  <c r="AN42" i="10"/>
  <c r="AE42" i="10"/>
  <c r="T41" i="10"/>
  <c r="K41" i="10"/>
  <c r="C41" i="10"/>
  <c r="T40" i="10"/>
  <c r="K40" i="10"/>
  <c r="C40" i="10"/>
  <c r="AN38" i="10"/>
  <c r="T38" i="10"/>
  <c r="K38" i="10"/>
  <c r="C38" i="10"/>
  <c r="AT37" i="10"/>
  <c r="AQ37" i="10"/>
  <c r="Y37" i="10" s="1"/>
  <c r="AU37" i="10" s="1"/>
  <c r="T37" i="10"/>
  <c r="K37" i="10"/>
  <c r="C37" i="10"/>
  <c r="AI36" i="10"/>
  <c r="T36" i="10"/>
  <c r="K36" i="10"/>
  <c r="C36" i="10"/>
  <c r="AT34" i="10"/>
  <c r="T34" i="10"/>
  <c r="K34" i="10"/>
  <c r="C34" i="10"/>
  <c r="AV33" i="10"/>
  <c r="AT33" i="10"/>
  <c r="T33" i="10"/>
  <c r="K33" i="10"/>
  <c r="C33" i="10"/>
  <c r="AQ32" i="10"/>
  <c r="Y32" i="10" s="1"/>
  <c r="T32" i="10"/>
  <c r="K32" i="10"/>
  <c r="C32" i="10"/>
  <c r="AN31" i="10"/>
  <c r="T30" i="10"/>
  <c r="K30" i="10"/>
  <c r="C30" i="10"/>
  <c r="AE29" i="10"/>
  <c r="T29" i="10"/>
  <c r="K29" i="10"/>
  <c r="C29" i="10"/>
  <c r="AF28" i="10"/>
  <c r="T28" i="10"/>
  <c r="K28" i="10"/>
  <c r="C28" i="10"/>
  <c r="AK26" i="10"/>
  <c r="AI26" i="10"/>
  <c r="T26" i="10"/>
  <c r="K26" i="10"/>
  <c r="C26" i="10"/>
  <c r="AT25" i="10"/>
  <c r="AI25" i="10"/>
  <c r="T25" i="10"/>
  <c r="K25" i="10"/>
  <c r="C25" i="10"/>
  <c r="AT24" i="10"/>
  <c r="T24" i="10"/>
  <c r="K24" i="10"/>
  <c r="C24" i="10"/>
  <c r="AB22" i="10"/>
  <c r="Y22" i="10" s="1"/>
  <c r="AU22" i="10" s="1"/>
  <c r="W22" i="10"/>
  <c r="T22" i="10"/>
  <c r="K22" i="10"/>
  <c r="C22" i="10"/>
  <c r="AF21" i="10"/>
  <c r="AE21" i="10"/>
  <c r="T21" i="10"/>
  <c r="K21" i="10"/>
  <c r="C21" i="10"/>
  <c r="AT19" i="10"/>
  <c r="T19" i="10"/>
  <c r="K19" i="10"/>
  <c r="C19" i="10"/>
  <c r="AT18" i="10"/>
  <c r="T18" i="10"/>
  <c r="K18" i="10"/>
  <c r="C18" i="10"/>
  <c r="AF17" i="10"/>
  <c r="T17" i="10"/>
  <c r="K17" i="10"/>
  <c r="C17" i="10"/>
  <c r="AK16" i="10"/>
  <c r="Y16" i="10" s="1"/>
  <c r="AU16" i="10" s="1"/>
  <c r="AI16" i="10"/>
  <c r="T16" i="10"/>
  <c r="K16" i="10"/>
  <c r="C16" i="10"/>
  <c r="AQ14" i="10"/>
  <c r="AI14" i="10"/>
  <c r="T14" i="10"/>
  <c r="K14" i="10"/>
  <c r="C14" i="10"/>
  <c r="AK13" i="10"/>
  <c r="Y13" i="10" s="1"/>
  <c r="AU13" i="10" s="1"/>
  <c r="AI13" i="10"/>
  <c r="T13" i="10"/>
  <c r="K13" i="10"/>
  <c r="C13" i="10"/>
  <c r="AV11" i="10"/>
  <c r="AF11" i="10"/>
  <c r="T11" i="10"/>
  <c r="K11" i="10"/>
  <c r="C11" i="10"/>
  <c r="AV10" i="10"/>
  <c r="AT10" i="10"/>
  <c r="AN10" i="10"/>
  <c r="T10" i="10"/>
  <c r="K10" i="10"/>
  <c r="C10" i="10"/>
  <c r="T8" i="10"/>
  <c r="K8" i="10"/>
  <c r="C8" i="10"/>
  <c r="AV7" i="10"/>
  <c r="AI7" i="10"/>
  <c r="T7" i="10"/>
  <c r="K7" i="10"/>
  <c r="C7" i="10"/>
  <c r="AK5" i="10"/>
  <c r="T5" i="10"/>
  <c r="K5" i="10"/>
  <c r="C5" i="10"/>
  <c r="AT4" i="10"/>
  <c r="AI4" i="10"/>
  <c r="T4" i="10"/>
  <c r="K4" i="10"/>
  <c r="C4" i="10"/>
  <c r="AI3" i="10"/>
  <c r="M9" i="8"/>
  <c r="L9" i="8"/>
  <c r="K9" i="8"/>
  <c r="J9" i="8"/>
  <c r="J8" i="8"/>
  <c r="A1" i="10" s="1"/>
  <c r="J7" i="8"/>
  <c r="J6" i="8"/>
  <c r="J5" i="8"/>
  <c r="J4" i="8"/>
  <c r="J3" i="8"/>
  <c r="H23" i="6"/>
  <c r="G23" i="6"/>
  <c r="H22" i="6"/>
  <c r="G22" i="6"/>
  <c r="H21" i="6"/>
  <c r="G21" i="6"/>
  <c r="H20" i="6"/>
  <c r="G20" i="6"/>
  <c r="H19" i="6"/>
  <c r="G19" i="6"/>
  <c r="H18" i="6"/>
  <c r="G18" i="6"/>
  <c r="H17" i="6"/>
  <c r="G17" i="6"/>
  <c r="H16" i="6"/>
  <c r="G16" i="6"/>
  <c r="H15" i="6"/>
  <c r="G15" i="6"/>
  <c r="H14" i="6"/>
  <c r="G14" i="6"/>
  <c r="H13" i="6"/>
  <c r="G13" i="6"/>
  <c r="H12" i="6"/>
  <c r="G12" i="6"/>
  <c r="H11" i="6"/>
  <c r="G11" i="6"/>
  <c r="H10" i="6"/>
  <c r="G10" i="6"/>
  <c r="H9" i="6"/>
  <c r="G9" i="6"/>
  <c r="H8" i="6"/>
  <c r="G8" i="6"/>
  <c r="H7" i="6"/>
  <c r="G7" i="6"/>
  <c r="H6" i="6"/>
  <c r="G6" i="6"/>
  <c r="H5" i="6"/>
  <c r="G5" i="6"/>
  <c r="H4" i="6"/>
  <c r="G4" i="6"/>
  <c r="H3" i="6"/>
  <c r="G3" i="6"/>
  <c r="H2" i="6"/>
  <c r="G2" i="6"/>
  <c r="AN47" i="10" s="1"/>
  <c r="AX3" i="12" l="1"/>
  <c r="AW4" i="12"/>
  <c r="AS8" i="12"/>
  <c r="AW6" i="12"/>
  <c r="AR32" i="10"/>
  <c r="AS6" i="12"/>
  <c r="AH21" i="10"/>
  <c r="AS14" i="10"/>
  <c r="AW10" i="10"/>
  <c r="AG11" i="10"/>
  <c r="AG43" i="10"/>
  <c r="AX44" i="10"/>
  <c r="AL5" i="10"/>
  <c r="AW11" i="10"/>
  <c r="AG28" i="10"/>
  <c r="AR43" i="10"/>
  <c r="AR37" i="10"/>
  <c r="AL13" i="10"/>
  <c r="AW7" i="10"/>
  <c r="AL26" i="10"/>
  <c r="AW33" i="10"/>
  <c r="AM16" i="10"/>
  <c r="AC22" i="10"/>
  <c r="AW3" i="12"/>
  <c r="AX6" i="12"/>
  <c r="AX8" i="12"/>
  <c r="AX7" i="12"/>
  <c r="AR6" i="12"/>
  <c r="AX5" i="12"/>
  <c r="AW5" i="12"/>
  <c r="AR7" i="12"/>
  <c r="AW7" i="12"/>
  <c r="AS7" i="12"/>
  <c r="AX4" i="12"/>
  <c r="AS4" i="12"/>
  <c r="AR4" i="12"/>
  <c r="AS5" i="12"/>
  <c r="AR5" i="12"/>
  <c r="AR8" i="12"/>
  <c r="AS3" i="12"/>
  <c r="AR3" i="12"/>
  <c r="AW8" i="12"/>
  <c r="AN19" i="10"/>
  <c r="AQ7" i="10"/>
  <c r="AF7" i="10"/>
  <c r="AF32" i="10"/>
  <c r="AG32" i="10" s="1"/>
  <c r="AE31" i="10"/>
  <c r="AN8" i="10"/>
  <c r="AR14" i="10"/>
  <c r="AH11" i="10"/>
  <c r="AT51" i="10"/>
  <c r="AV47" i="10"/>
  <c r="Y47" i="10" s="1"/>
  <c r="AT40" i="10"/>
  <c r="AV36" i="10"/>
  <c r="AT29" i="10"/>
  <c r="AV25" i="10"/>
  <c r="AV19" i="10"/>
  <c r="AW19" i="10" s="1"/>
  <c r="AT48" i="10"/>
  <c r="AT47" i="10"/>
  <c r="AT50" i="10"/>
  <c r="AV46" i="10"/>
  <c r="AT38" i="10"/>
  <c r="AV34" i="10"/>
  <c r="AT28" i="10"/>
  <c r="AV24" i="10"/>
  <c r="AV18" i="10"/>
  <c r="AX18" i="10" s="1"/>
  <c r="AT11" i="10"/>
  <c r="AT41" i="10"/>
  <c r="AT26" i="10"/>
  <c r="AV38" i="10"/>
  <c r="AW38" i="10" s="1"/>
  <c r="AT36" i="10"/>
  <c r="AV22" i="10"/>
  <c r="AX22" i="10" s="1"/>
  <c r="AV16" i="10"/>
  <c r="AX16" i="10" s="1"/>
  <c r="AV50" i="10"/>
  <c r="AT22" i="10"/>
  <c r="AT16" i="10"/>
  <c r="AV8" i="10"/>
  <c r="AX8" i="10" s="1"/>
  <c r="AV49" i="10"/>
  <c r="AV32" i="10"/>
  <c r="AX32" i="10" s="1"/>
  <c r="AT31" i="10"/>
  <c r="AV21" i="10"/>
  <c r="AW21" i="10" s="1"/>
  <c r="AV17" i="10"/>
  <c r="AX17" i="10" s="1"/>
  <c r="AT8" i="10"/>
  <c r="AV4" i="10"/>
  <c r="AX4" i="10" s="1"/>
  <c r="AT49" i="10"/>
  <c r="AT45" i="10"/>
  <c r="AV43" i="10"/>
  <c r="AX43" i="10" s="1"/>
  <c r="AX42" i="10" s="1"/>
  <c r="AT42" i="10"/>
  <c r="AV37" i="10"/>
  <c r="AX37" i="10" s="1"/>
  <c r="AT32" i="10"/>
  <c r="W21" i="10"/>
  <c r="W51" i="10"/>
  <c r="W20" i="10"/>
  <c r="AT3" i="10"/>
  <c r="AF4" i="10"/>
  <c r="AI5" i="10"/>
  <c r="AT7" i="10"/>
  <c r="AX11" i="10"/>
  <c r="AH17" i="10"/>
  <c r="AG17" i="10"/>
  <c r="AQ19" i="10"/>
  <c r="AS19" i="10" s="1"/>
  <c r="AQ22" i="10"/>
  <c r="AS22" i="10" s="1"/>
  <c r="AE28" i="10"/>
  <c r="AN32" i="10"/>
  <c r="AE43" i="10"/>
  <c r="AF44" i="10"/>
  <c r="AM5" i="10"/>
  <c r="AF47" i="10"/>
  <c r="AH47" i="10" s="1"/>
  <c r="AK47" i="10"/>
  <c r="AI40" i="10"/>
  <c r="AK36" i="10"/>
  <c r="AI29" i="10"/>
  <c r="AK25" i="10"/>
  <c r="AL25" i="10" s="1"/>
  <c r="AK19" i="10"/>
  <c r="AI47" i="10"/>
  <c r="AK46" i="10"/>
  <c r="AL46" i="10" s="1"/>
  <c r="AI38" i="10"/>
  <c r="AK34" i="10"/>
  <c r="AL34" i="10" s="1"/>
  <c r="AI28" i="10"/>
  <c r="AK24" i="10"/>
  <c r="AM24" i="10" s="1"/>
  <c r="AK18" i="10"/>
  <c r="AI51" i="10"/>
  <c r="AI22" i="10"/>
  <c r="AI45" i="10"/>
  <c r="AK32" i="10"/>
  <c r="AM32" i="10" s="1"/>
  <c r="AI31" i="10"/>
  <c r="AK21" i="10"/>
  <c r="AL21" i="10" s="1"/>
  <c r="AK17" i="10"/>
  <c r="Y17" i="10" s="1"/>
  <c r="AU17" i="10" s="1"/>
  <c r="AI46" i="10"/>
  <c r="AK43" i="10"/>
  <c r="AM43" i="10" s="1"/>
  <c r="AI42" i="10"/>
  <c r="AK37" i="10"/>
  <c r="AL37" i="10" s="1"/>
  <c r="AI32" i="10"/>
  <c r="AK28" i="10"/>
  <c r="AM28" i="10" s="1"/>
  <c r="AI21" i="10"/>
  <c r="AI18" i="10"/>
  <c r="AI17" i="10"/>
  <c r="AK8" i="10"/>
  <c r="AM8" i="10" s="1"/>
  <c r="AI33" i="10"/>
  <c r="AK30" i="10"/>
  <c r="AM30" i="10" s="1"/>
  <c r="AI43" i="10"/>
  <c r="AI37" i="10"/>
  <c r="AK33" i="10"/>
  <c r="AM33" i="10" s="1"/>
  <c r="AI19" i="10"/>
  <c r="AK14" i="10"/>
  <c r="AI8" i="10"/>
  <c r="AK4" i="10"/>
  <c r="AM4" i="10" s="1"/>
  <c r="AK44" i="10"/>
  <c r="AM44" i="10" s="1"/>
  <c r="AI34" i="10"/>
  <c r="AK29" i="10"/>
  <c r="AL29" i="10" s="1"/>
  <c r="AN16" i="10"/>
  <c r="AQ21" i="10"/>
  <c r="AS21" i="10" s="1"/>
  <c r="AN4" i="10"/>
  <c r="AQ5" i="10"/>
  <c r="AE10" i="10"/>
  <c r="AI11" i="10"/>
  <c r="AE14" i="10"/>
  <c r="AT14" i="10"/>
  <c r="AQ16" i="10"/>
  <c r="AR16" i="10" s="1"/>
  <c r="AQ17" i="10"/>
  <c r="AR17" i="10" s="1"/>
  <c r="AE19" i="10"/>
  <c r="AK22" i="10"/>
  <c r="AV26" i="10"/>
  <c r="AW26" i="10" s="1"/>
  <c r="AI30" i="10"/>
  <c r="AK40" i="10"/>
  <c r="AL40" i="10" s="1"/>
  <c r="AI41" i="10"/>
  <c r="AW44" i="10"/>
  <c r="AF18" i="10"/>
  <c r="AH18" i="10" s="1"/>
  <c r="AN21" i="10"/>
  <c r="AQ28" i="10"/>
  <c r="Y28" i="10" s="1"/>
  <c r="AU28" i="10" s="1"/>
  <c r="AF24" i="10"/>
  <c r="AF46" i="10"/>
  <c r="AH46" i="10" s="1"/>
  <c r="AQ4" i="10"/>
  <c r="Y4" i="10" s="1"/>
  <c r="AU4" i="10" s="1"/>
  <c r="AE5" i="10"/>
  <c r="AT5" i="10"/>
  <c r="AE8" i="10"/>
  <c r="AI10" i="10"/>
  <c r="AX10" i="10"/>
  <c r="AK11" i="10"/>
  <c r="AM11" i="10" s="1"/>
  <c r="AM13" i="10"/>
  <c r="AT13" i="10"/>
  <c r="AF14" i="10"/>
  <c r="AV14" i="10"/>
  <c r="AX14" i="10" s="1"/>
  <c r="AQ18" i="10"/>
  <c r="AS18" i="10" s="1"/>
  <c r="AF19" i="10"/>
  <c r="AH19" i="10" s="1"/>
  <c r="AT21" i="10"/>
  <c r="AV28" i="10"/>
  <c r="AW28" i="10" s="1"/>
  <c r="AV29" i="10"/>
  <c r="AT30" i="10"/>
  <c r="AF33" i="10"/>
  <c r="AG33" i="10" s="1"/>
  <c r="AF34" i="10"/>
  <c r="AV40" i="10"/>
  <c r="AK41" i="10"/>
  <c r="AM41" i="10" s="1"/>
  <c r="AS50" i="10"/>
  <c r="AR50" i="10"/>
  <c r="AN5" i="10"/>
  <c r="AK7" i="10"/>
  <c r="AL7" i="10" s="1"/>
  <c r="AQ8" i="10"/>
  <c r="Y8" i="10" s="1"/>
  <c r="AU8" i="10" s="1"/>
  <c r="AN49" i="10"/>
  <c r="AE4" i="10"/>
  <c r="AF5" i="10"/>
  <c r="AH5" i="10" s="1"/>
  <c r="AV5" i="10"/>
  <c r="AX5" i="10" s="1"/>
  <c r="AX7" i="10"/>
  <c r="AF8" i="10"/>
  <c r="AK10" i="10"/>
  <c r="AM10" i="10" s="1"/>
  <c r="AQ11" i="10"/>
  <c r="Y11" i="10" s="1"/>
  <c r="AV13" i="10"/>
  <c r="AT17" i="10"/>
  <c r="AB21" i="10"/>
  <c r="AI24" i="10"/>
  <c r="AF25" i="10"/>
  <c r="AH25" i="10" s="1"/>
  <c r="AV30" i="10"/>
  <c r="AX30" i="10" s="1"/>
  <c r="AE32" i="10"/>
  <c r="AS37" i="10"/>
  <c r="AK38" i="10"/>
  <c r="AL38" i="10" s="1"/>
  <c r="AV41" i="10"/>
  <c r="AX41" i="10" s="1"/>
  <c r="AT46" i="10"/>
  <c r="AN48" i="10"/>
  <c r="AN36" i="10"/>
  <c r="AQ38" i="10"/>
  <c r="AE3" i="10"/>
  <c r="AN3" i="10"/>
  <c r="AF10" i="10"/>
  <c r="AH10" i="10" s="1"/>
  <c r="AQ10" i="10"/>
  <c r="AE16" i="10"/>
  <c r="AD22" i="10"/>
  <c r="AM26" i="10"/>
  <c r="AN26" i="10"/>
  <c r="AH28" i="10"/>
  <c r="AX33" i="10"/>
  <c r="AQ36" i="10"/>
  <c r="AN41" i="10"/>
  <c r="AN46" i="10"/>
  <c r="AQ41" i="10"/>
  <c r="Y41" i="10" s="1"/>
  <c r="AU41" i="10" s="1"/>
  <c r="AN34" i="10"/>
  <c r="AQ30" i="10"/>
  <c r="Y30" i="10" s="1"/>
  <c r="AU30" i="10" s="1"/>
  <c r="AN24" i="10"/>
  <c r="AN18" i="10"/>
  <c r="AN51" i="10"/>
  <c r="AQ49" i="10"/>
  <c r="AS49" i="10" s="1"/>
  <c r="AN45" i="10"/>
  <c r="AN44" i="10"/>
  <c r="AQ40" i="10"/>
  <c r="AN33" i="10"/>
  <c r="AQ29" i="10"/>
  <c r="Y29" i="10" s="1"/>
  <c r="AU29" i="10" s="1"/>
  <c r="AN22" i="10"/>
  <c r="AN17" i="10"/>
  <c r="AQ13" i="10"/>
  <c r="AE46" i="10"/>
  <c r="AF41" i="10"/>
  <c r="AE34" i="10"/>
  <c r="AF30" i="10"/>
  <c r="AE24" i="10"/>
  <c r="AE18" i="10"/>
  <c r="AE51" i="10"/>
  <c r="AE45" i="10"/>
  <c r="AE44" i="10"/>
  <c r="AF40" i="10"/>
  <c r="AE33" i="10"/>
  <c r="AF29" i="10"/>
  <c r="AE22" i="10"/>
  <c r="AE17" i="10"/>
  <c r="AF13" i="10"/>
  <c r="AE7" i="10"/>
  <c r="AN7" i="10"/>
  <c r="AN13" i="10"/>
  <c r="AF16" i="10"/>
  <c r="AG16" i="10" s="1"/>
  <c r="AF22" i="10"/>
  <c r="AH22" i="10" s="1"/>
  <c r="AN25" i="10"/>
  <c r="AQ26" i="10"/>
  <c r="AN30" i="10"/>
  <c r="AN40" i="10"/>
  <c r="AQ47" i="10"/>
  <c r="AR47" i="10" s="1"/>
  <c r="AE11" i="10"/>
  <c r="AN11" i="10"/>
  <c r="AE13" i="10"/>
  <c r="AN14" i="10"/>
  <c r="AQ24" i="10"/>
  <c r="Y24" i="10" s="1"/>
  <c r="AU24" i="10" s="1"/>
  <c r="AQ25" i="10"/>
  <c r="AE26" i="10"/>
  <c r="AN29" i="10"/>
  <c r="AQ34" i="10"/>
  <c r="Y34" i="10" s="1"/>
  <c r="AE41" i="10"/>
  <c r="AQ44" i="10"/>
  <c r="AR44" i="10" s="1"/>
  <c r="AW22" i="10"/>
  <c r="AE25" i="10"/>
  <c r="AF26" i="10"/>
  <c r="AH26" i="10" s="1"/>
  <c r="AN28" i="10"/>
  <c r="AE30" i="10"/>
  <c r="AQ33" i="10"/>
  <c r="AN37" i="10"/>
  <c r="AE40" i="10"/>
  <c r="AN43" i="10"/>
  <c r="AQ46" i="10"/>
  <c r="AS46" i="10" s="1"/>
  <c r="AE47" i="10"/>
  <c r="AS16" i="10"/>
  <c r="AM21" i="10"/>
  <c r="AS32" i="10"/>
  <c r="AH43" i="10"/>
  <c r="AS43" i="10"/>
  <c r="AL16" i="10"/>
  <c r="AG21" i="10"/>
  <c r="AS38" i="10" l="1"/>
  <c r="Y38" i="10"/>
  <c r="AU38" i="10" s="1"/>
  <c r="AR5" i="10"/>
  <c r="Y5" i="10"/>
  <c r="AU5" i="10" s="1"/>
  <c r="AS48" i="10"/>
  <c r="AW8" i="10"/>
  <c r="AW6" i="10" s="1"/>
  <c r="AW50" i="10"/>
  <c r="Y50" i="10"/>
  <c r="AW46" i="10"/>
  <c r="Y46" i="10"/>
  <c r="AS40" i="10"/>
  <c r="Y40" i="10"/>
  <c r="AU40" i="10" s="1"/>
  <c r="AR33" i="10"/>
  <c r="Y33" i="10"/>
  <c r="AS36" i="10"/>
  <c r="Y36" i="10"/>
  <c r="AU36" i="10" s="1"/>
  <c r="AS10" i="10"/>
  <c r="Y10" i="10"/>
  <c r="AU10" i="10" s="1"/>
  <c r="AC21" i="10"/>
  <c r="Y21" i="10"/>
  <c r="AU21" i="10" s="1"/>
  <c r="AM14" i="10"/>
  <c r="Y14" i="10"/>
  <c r="AU14" i="10" s="1"/>
  <c r="AS7" i="10"/>
  <c r="Y7" i="10"/>
  <c r="AU7" i="10" s="1"/>
  <c r="AM18" i="10"/>
  <c r="Y18" i="10"/>
  <c r="AU18" i="10" s="1"/>
  <c r="AM19" i="10"/>
  <c r="Y19" i="10"/>
  <c r="AU19" i="10" s="1"/>
  <c r="AX49" i="10"/>
  <c r="Y49" i="10"/>
  <c r="AS25" i="10"/>
  <c r="Y25" i="10"/>
  <c r="AU25" i="10" s="1"/>
  <c r="AG44" i="10"/>
  <c r="AG42" i="10" s="1"/>
  <c r="Y44" i="10"/>
  <c r="AS26" i="10"/>
  <c r="Y26" i="10"/>
  <c r="AU26" i="10" s="1"/>
  <c r="AX50" i="10"/>
  <c r="AW37" i="10"/>
  <c r="AD21" i="10"/>
  <c r="AH45" i="10"/>
  <c r="AH16" i="10"/>
  <c r="AR36" i="10"/>
  <c r="AG25" i="10"/>
  <c r="AR25" i="10"/>
  <c r="AG47" i="10"/>
  <c r="AX6" i="10"/>
  <c r="AM46" i="10"/>
  <c r="AG19" i="10"/>
  <c r="AR22" i="10"/>
  <c r="AR19" i="10"/>
  <c r="AL44" i="10"/>
  <c r="AX19" i="10"/>
  <c r="AX15" i="10" s="1"/>
  <c r="AW16" i="10"/>
  <c r="AG5" i="10"/>
  <c r="AH44" i="10"/>
  <c r="AH42" i="10" s="1"/>
  <c r="AW4" i="10"/>
  <c r="AW18" i="10"/>
  <c r="AM29" i="10"/>
  <c r="AX21" i="10"/>
  <c r="AX20" i="10" s="1"/>
  <c r="AL18" i="10"/>
  <c r="AL33" i="10"/>
  <c r="AS5" i="10"/>
  <c r="AH33" i="10"/>
  <c r="AL4" i="10"/>
  <c r="AL3" i="10" s="1"/>
  <c r="AM40" i="10"/>
  <c r="AL28" i="10"/>
  <c r="AX46" i="10"/>
  <c r="AL43" i="10"/>
  <c r="AW30" i="10"/>
  <c r="AM37" i="10"/>
  <c r="AM34" i="10"/>
  <c r="AM31" i="10" s="1"/>
  <c r="AG10" i="10"/>
  <c r="AG18" i="10"/>
  <c r="AX48" i="10"/>
  <c r="AR7" i="10"/>
  <c r="AR18" i="10"/>
  <c r="AL19" i="10"/>
  <c r="AW41" i="10"/>
  <c r="AL24" i="10"/>
  <c r="AW32" i="10"/>
  <c r="AL32" i="10"/>
  <c r="AW43" i="10"/>
  <c r="AW42" i="10" s="1"/>
  <c r="AW14" i="10"/>
  <c r="AM25" i="10"/>
  <c r="AR42" i="10"/>
  <c r="AL8" i="10"/>
  <c r="AX9" i="10"/>
  <c r="AR46" i="10"/>
  <c r="AR45" i="10" s="1"/>
  <c r="AW20" i="10"/>
  <c r="AW9" i="10"/>
  <c r="AR28" i="10"/>
  <c r="AS28" i="10"/>
  <c r="AM38" i="10"/>
  <c r="AR29" i="10"/>
  <c r="AS29" i="10"/>
  <c r="AS8" i="10"/>
  <c r="AR8" i="10"/>
  <c r="AX28" i="10"/>
  <c r="AS30" i="10"/>
  <c r="AR30" i="10"/>
  <c r="AR38" i="10"/>
  <c r="AW40" i="10"/>
  <c r="AX40" i="10"/>
  <c r="AR4" i="10"/>
  <c r="AS4" i="10"/>
  <c r="AM22" i="10"/>
  <c r="AL22" i="10"/>
  <c r="AW49" i="10"/>
  <c r="AW48" i="10" s="1"/>
  <c r="AR34" i="10"/>
  <c r="AR31" i="10" s="1"/>
  <c r="AS34" i="10"/>
  <c r="AR21" i="10"/>
  <c r="AG26" i="10"/>
  <c r="AL11" i="10"/>
  <c r="AG8" i="10"/>
  <c r="AH8" i="10"/>
  <c r="AG34" i="10"/>
  <c r="AG31" i="10" s="1"/>
  <c r="AH34" i="10"/>
  <c r="AR10" i="10"/>
  <c r="AG46" i="10"/>
  <c r="AW25" i="10"/>
  <c r="AX25" i="10"/>
  <c r="AR24" i="10"/>
  <c r="AS24" i="10"/>
  <c r="AM17" i="10"/>
  <c r="AL17" i="10"/>
  <c r="AM36" i="10"/>
  <c r="AL36" i="10"/>
  <c r="AX34" i="10"/>
  <c r="AX31" i="10" s="1"/>
  <c r="AW34" i="10"/>
  <c r="AH13" i="10"/>
  <c r="AG13" i="10"/>
  <c r="AX13" i="10"/>
  <c r="AX12" i="10" s="1"/>
  <c r="AW13" i="10"/>
  <c r="AW47" i="10"/>
  <c r="AX47" i="10"/>
  <c r="AG41" i="10"/>
  <c r="AH41" i="10"/>
  <c r="AW17" i="10"/>
  <c r="AS47" i="10"/>
  <c r="AS45" i="10" s="1"/>
  <c r="AX26" i="10"/>
  <c r="AL41" i="10"/>
  <c r="AL14" i="10"/>
  <c r="AH29" i="10"/>
  <c r="AG29" i="10"/>
  <c r="AR13" i="10"/>
  <c r="AS13" i="10"/>
  <c r="AS41" i="10"/>
  <c r="AR41" i="10"/>
  <c r="AR26" i="10"/>
  <c r="AS17" i="10"/>
  <c r="AG4" i="10"/>
  <c r="AH4" i="10"/>
  <c r="AH3" i="10" s="1"/>
  <c r="AH7" i="10"/>
  <c r="AG7" i="10"/>
  <c r="AX38" i="10"/>
  <c r="AW5" i="10"/>
  <c r="AS44" i="10"/>
  <c r="AS42" i="10" s="1"/>
  <c r="AM7" i="10"/>
  <c r="AH24" i="10"/>
  <c r="AG24" i="10"/>
  <c r="AM3" i="10"/>
  <c r="AM42" i="10"/>
  <c r="AG22" i="10"/>
  <c r="AX3" i="10"/>
  <c r="AW24" i="10"/>
  <c r="AX24" i="10"/>
  <c r="AR40" i="10"/>
  <c r="AS11" i="10"/>
  <c r="AR11" i="10"/>
  <c r="AM47" i="10"/>
  <c r="AM45" i="10" s="1"/>
  <c r="AL47" i="10"/>
  <c r="AL45" i="10" s="1"/>
  <c r="AR49" i="10"/>
  <c r="AR48" i="10" s="1"/>
  <c r="AH32" i="10"/>
  <c r="AS33" i="10"/>
  <c r="AL30" i="10"/>
  <c r="AH40" i="10"/>
  <c r="AG40" i="10"/>
  <c r="AH30" i="10"/>
  <c r="AG30" i="10"/>
  <c r="AX29" i="10"/>
  <c r="AW29" i="10"/>
  <c r="AG14" i="10"/>
  <c r="AH14" i="10"/>
  <c r="AL10" i="10"/>
  <c r="AW36" i="10"/>
  <c r="AW35" i="10" s="1"/>
  <c r="AX36" i="10"/>
  <c r="AG45" i="10" l="1"/>
  <c r="AR3" i="10"/>
  <c r="AW45" i="10"/>
  <c r="AS3" i="10"/>
  <c r="AL42" i="10"/>
  <c r="AX45" i="10"/>
  <c r="AW23" i="10"/>
  <c r="AW31" i="10"/>
  <c r="AW12" i="10"/>
  <c r="AW27" i="10"/>
  <c r="AL31" i="10"/>
  <c r="AX35" i="10"/>
  <c r="AW3" i="10"/>
  <c r="AW15" i="10"/>
  <c r="AG3" i="10"/>
  <c r="AS31" i="10"/>
  <c r="AX23" i="10"/>
  <c r="AX27" i="10"/>
  <c r="AH31" i="10"/>
</calcChain>
</file>

<file path=xl/sharedStrings.xml><?xml version="1.0" encoding="utf-8"?>
<sst xmlns="http://schemas.openxmlformats.org/spreadsheetml/2006/main" count="2012" uniqueCount="420">
  <si>
    <t>מזהה</t>
  </si>
  <si>
    <t>ח.פ</t>
  </si>
  <si>
    <t>ספק</t>
  </si>
  <si>
    <t>הגיש?</t>
  </si>
  <si>
    <t>עמלה</t>
  </si>
  <si>
    <t>מע"מ</t>
  </si>
  <si>
    <t>513234468</t>
  </si>
  <si>
    <t>מנור את אדיר</t>
  </si>
  <si>
    <t>כן</t>
  </si>
  <si>
    <t>511893703</t>
  </si>
  <si>
    <t>מובילי נטופה מ.ע.ן בע"מ</t>
  </si>
  <si>
    <t>512863861</t>
  </si>
  <si>
    <t>מטיילי ירון בר</t>
  </si>
  <si>
    <t>511831711</t>
  </si>
  <si>
    <t>אורי אדוני - שרותי הסעות בע"מ</t>
  </si>
  <si>
    <t>512207051</t>
  </si>
  <si>
    <t>הסעות ג'אד אליאס</t>
  </si>
  <si>
    <t>511227571</t>
  </si>
  <si>
    <t>מטיילי סעסעאני בע"מ</t>
  </si>
  <si>
    <t>לא</t>
  </si>
  <si>
    <t>512513425</t>
  </si>
  <si>
    <t>תיור וסיור הגליל</t>
  </si>
  <si>
    <t>512947599</t>
  </si>
  <si>
    <t>סופרבוס הסעים ותיור בע"מ</t>
  </si>
  <si>
    <t>510917388</t>
  </si>
  <si>
    <t>אלקטרה אפיקים בע"מ</t>
  </si>
  <si>
    <t>511182289</t>
  </si>
  <si>
    <t>א.י מובילי הגליל התחתון</t>
  </si>
  <si>
    <t>511476905</t>
  </si>
  <si>
    <t>מובילי הורדים</t>
  </si>
  <si>
    <t>512023706</t>
  </si>
  <si>
    <t>הסעות חנניה פרץ</t>
  </si>
  <si>
    <t>513824276</t>
  </si>
  <si>
    <t>מוניות ניצב 10</t>
  </si>
  <si>
    <t>511150088</t>
  </si>
  <si>
    <t>א.מ.טיולי כנרת</t>
  </si>
  <si>
    <t>514588219</t>
  </si>
  <si>
    <t>הסעות סגל שוקי - סגל טורס בע"מ</t>
  </si>
  <si>
    <t>513969345</t>
  </si>
  <si>
    <t>ליאור הסעים בגליל בע"מ</t>
  </si>
  <si>
    <t>511827545</t>
  </si>
  <si>
    <t>הסעות סולימאן בע"מ</t>
  </si>
  <si>
    <t>512394016</t>
  </si>
  <si>
    <t>טיולי פרח הגליל</t>
  </si>
  <si>
    <t>512912973</t>
  </si>
  <si>
    <t>א. אמני בע"מ</t>
  </si>
  <si>
    <t>512339011</t>
  </si>
  <si>
    <t>שחר צח</t>
  </si>
  <si>
    <t>512793381</t>
  </si>
  <si>
    <t>ציר הסעות ותיור (פסגות מינוף והובלות) בע"מ</t>
  </si>
  <si>
    <t>514155571</t>
  </si>
  <si>
    <t>גליליי טרוויל בע"מ</t>
  </si>
  <si>
    <t>ללא</t>
  </si>
  <si>
    <t>הקפצות</t>
  </si>
  <si>
    <t>חינוך מיוחד</t>
  </si>
  <si>
    <t>רווחה</t>
  </si>
  <si>
    <t>חינוך רגיל</t>
  </si>
  <si>
    <t>מוזמנות</t>
  </si>
  <si>
    <t>טיולים</t>
  </si>
  <si>
    <t>חינוך רגיל -חד שבועי</t>
  </si>
  <si>
    <t>חינוך מיוחד -חד שבועי</t>
  </si>
  <si>
    <t>רווחה -חד שבועי</t>
  </si>
  <si>
    <t>מוצמדות</t>
  </si>
  <si>
    <t>סבבים</t>
  </si>
  <si>
    <t>עלות ליווי</t>
  </si>
  <si>
    <t>###AuctionName###</t>
  </si>
  <si>
    <t>A-408108-21-22865  הסעים- עמק הירדן</t>
  </si>
  <si>
    <t>שם</t>
  </si>
  <si>
    <t>תפקיד</t>
  </si>
  <si>
    <t>טל'</t>
  </si>
  <si>
    <t>e-mail</t>
  </si>
  <si>
    <t>טקסט</t>
  </si>
  <si>
    <t>ערך</t>
  </si>
  <si>
    <t>###AuctionNumber###</t>
  </si>
  <si>
    <t>TS027010</t>
  </si>
  <si>
    <t>אוהד לזר</t>
  </si>
  <si>
    <t>יועמ"ש/ית</t>
  </si>
  <si>
    <t>‎052-3563690</t>
  </si>
  <si>
    <t>ohadl@mashcal.co.il</t>
  </si>
  <si>
    <t>###BAMICHRAZ###</t>
  </si>
  <si>
    <t>במכרז שבנדון לצורך קבלת הצעות מחיר</t>
  </si>
  <si>
    <t>###BidderConsentStatement###</t>
  </si>
  <si>
    <t xml:space="preserve">שימו לב, 
מצורף קובץ הערות נוספות לנוהל, נדרש לחתום ולצרף מסמך חתום בהגשה </t>
  </si>
  <si>
    <t>אוראל דרעי</t>
  </si>
  <si>
    <t>רכז/ת שירות ותפעול</t>
  </si>
  <si>
    <t>055-6667893</t>
  </si>
  <si>
    <t>oreld@mashcal.co.il</t>
  </si>
  <si>
    <t>###HeaderFooter###</t>
  </si>
  <si>
    <t>###CalculationMethodType###</t>
  </si>
  <si>
    <t>מחיר פריט</t>
  </si>
  <si>
    <t>אנה גורדון</t>
  </si>
  <si>
    <t>054-6445722</t>
  </si>
  <si>
    <t>annag@mashcal.co.il</t>
  </si>
  <si>
    <t>###PANINU###</t>
  </si>
  <si>
    <t>###Comments###</t>
  </si>
  <si>
    <t>1. תחילת ביצוע השירותים:  01/09/2022.
2.  להבהרות נוספות ניתן לפנות בפקס 03-6790332 עד  ליום ה' ה- 14/7 בשעה 13:00.
3.  המחירים אינם כוללים מע"מ ועמלת משכ"ל.
4. תנאי התשלום: כמפורט בסעיף 7 לחוזה ההתקשרות. 
5. מובהר בזאת כי בנוהל הצעת מחיר זה, בסיס החישוב לקביעת ההצעה הזולה יקבע לפי ההצעה הזולה ביותר לכל קו (מסלולים בודדים) / מכלול ביצוע שרותי ההסעה השבועי/ השנתי (אשכולות).
6.  מובהר כי, הגשת דו"ח הביצוע תתבצע בהתאם להוראות הרשות/ החברה המנהלת לרבות הצגת קוד מסלול לכל מסלול שיינתן לקבלן עם חתימת החוזה ויועבר מטעם החברה המנהלת. על הקבלן לשתף פעולה ולהציג עבור כל מסלול כאמור את הקוד הנדרש.
7.  ככל שהנכם מבקשים להעסיק קבלן/ני משנה, מובהר כי לא תאושר העסקת קבלני משנה בהיקף של למעלה מ 50% מכמות הרכבים למעט מוניות.
8.  בהתאם לתנאי המכרז, לרשות עומדת הזכות לאכוף על זוכה במכרז שלא יגיש הצעה בנוהל את הצעתו למכרז כאילו הוגשה על ידו במסגרת נוהל זה.
יובהר כי הרשות תהיה רשאית להתקשר עם הזוכה/ים לביצוע חלק משירותי ההיסעים בלבד או כולם, או שלא לבחור בכל הצעה שהיא.
9.  יובהר כי אין הרשות מתחייבת להפעיל את כל כלי הרכב על פיהם נקבע זוכה בנוהל.
10.  ככל שהרשות תקבע זוכה/ים בנוהל הצעת המחיר, שמות הזוכים יפורסמו באתר האינטרנט של משכ"ל. 
יובהר כי לא תישלח למציעים הודעה בדבר תוצאות הנוהל וכי באחריות כל מציע לבדוק את תוצאות נוהל הצעת המחיר באתר האינטרנט של משכ"ל.</t>
  </si>
  <si>
    <t>דיקלה בוברוביצקי</t>
  </si>
  <si>
    <t>050-2641614</t>
  </si>
  <si>
    <t>diklabo@mashcal.co.il</t>
  </si>
  <si>
    <t>###SUBJECT###</t>
  </si>
  <si>
    <t>###Commission###</t>
  </si>
  <si>
    <t>4.50%</t>
  </si>
  <si>
    <t>דנה לוי</t>
  </si>
  <si>
    <t>050-6380661</t>
  </si>
  <si>
    <t>danal@mashcal.co.il</t>
  </si>
  <si>
    <t>###PricingHeader1###</t>
  </si>
  <si>
    <t>###CommitteeName###</t>
  </si>
  <si>
    <t>וועדת נהלים - 2 עובדים</t>
  </si>
  <si>
    <t>דניאלה סימן טוב</t>
  </si>
  <si>
    <t>052-8661554</t>
  </si>
  <si>
    <t>danielasi@mashcal.co.il</t>
  </si>
  <si>
    <t>###PricingHeader2###</t>
  </si>
  <si>
    <t>###DateTimeNow###</t>
  </si>
  <si>
    <t>17/07/2022 13:07</t>
  </si>
  <si>
    <t>דריה טורין</t>
  </si>
  <si>
    <t>054-2122363</t>
  </si>
  <si>
    <t>dariat@mashcal.co.il</t>
  </si>
  <si>
    <t>###PricingHeader3###</t>
  </si>
  <si>
    <t>###ExpirationDate###</t>
  </si>
  <si>
    <t>26/07/2022</t>
  </si>
  <si>
    <t>הילה מאיה</t>
  </si>
  <si>
    <t>מנהל/ת פרויקט</t>
  </si>
  <si>
    <t>052-2224000</t>
  </si>
  <si>
    <t>hilam@mashcal.co.il</t>
  </si>
  <si>
    <t>###CP###</t>
  </si>
  <si>
    <t>###FinishDateTime###</t>
  </si>
  <si>
    <t>17/07/2022 13:00</t>
  </si>
  <si>
    <t>ויקטוריה סלוצקי בינו</t>
  </si>
  <si>
    <t>054-79948430</t>
  </si>
  <si>
    <t>victorias@mashcal.co.il</t>
  </si>
  <si>
    <t>###FrameworkTotal###</t>
  </si>
  <si>
    <t>₪ 0.00</t>
  </si>
  <si>
    <t>יותם מיידלר</t>
  </si>
  <si>
    <t>052-3212496</t>
  </si>
  <si>
    <t>Yotamm@mashcal.co.il</t>
  </si>
  <si>
    <t>###GeneralAuctionName###</t>
  </si>
  <si>
    <t>מכרז למתן שירותי היסעים ושירותי הסעות של תלמידים</t>
  </si>
  <si>
    <t>ליז בוסאני</t>
  </si>
  <si>
    <t>050-8141516</t>
  </si>
  <si>
    <t>lizb@mashcal.co.il</t>
  </si>
  <si>
    <t>###GeneralAuctionNumber###</t>
  </si>
  <si>
    <t>הס/3/2021</t>
  </si>
  <si>
    <t>לנה רותם</t>
  </si>
  <si>
    <t>058-6247237</t>
  </si>
  <si>
    <t>lenar@mashcal.co.il</t>
  </si>
  <si>
    <t>###LocalAuthorityName###</t>
  </si>
  <si>
    <t>עמק הירדן - מועצה אזורית</t>
  </si>
  <si>
    <t>מורן שבתאי</t>
  </si>
  <si>
    <t>052-6746655</t>
  </si>
  <si>
    <t>moransh@mashcal.co.il</t>
  </si>
  <si>
    <t>###LocalAuthoritySapNumber###</t>
  </si>
  <si>
    <t>5000238</t>
  </si>
  <si>
    <t>נירית גרדל</t>
  </si>
  <si>
    <t>סגנית מנהל תחום</t>
  </si>
  <si>
    <t>052-4375282</t>
  </si>
  <si>
    <t>nirits@mashcal.co.il</t>
  </si>
  <si>
    <t>###PlannedOpenDateTime###</t>
  </si>
  <si>
    <t>11/07/2022 12:44:00</t>
  </si>
  <si>
    <t>נעמי הניג-לנדאו</t>
  </si>
  <si>
    <t>054-5795954</t>
  </si>
  <si>
    <t>naomih@mashcal.co.il</t>
  </si>
  <si>
    <t>###POrganizationContact###</t>
  </si>
  <si>
    <t>קרן לוי</t>
  </si>
  <si>
    <t>עדן סימן טוב</t>
  </si>
  <si>
    <t>052-5377156</t>
  </si>
  <si>
    <t>edens@mashcal.co.il</t>
  </si>
  <si>
    <t>###POrganizationName###</t>
  </si>
  <si>
    <t>היסעים</t>
  </si>
  <si>
    <t>עומר לירון</t>
  </si>
  <si>
    <t>052-4706227</t>
  </si>
  <si>
    <t>omerl@mashcal.co.il</t>
  </si>
  <si>
    <t>###ProcedureType###</t>
  </si>
  <si>
    <t>רגיל</t>
  </si>
  <si>
    <t>052-5533375</t>
  </si>
  <si>
    <t>kerenle@mashcal.co.il</t>
  </si>
  <si>
    <t>###RegionName###</t>
  </si>
  <si>
    <t>כנרת</t>
  </si>
  <si>
    <t>###RunningModeType###</t>
  </si>
  <si>
    <t>אמת</t>
  </si>
  <si>
    <t>###SAPNumber###</t>
  </si>
  <si>
    <t>M-408108-21</t>
  </si>
  <si>
    <t>###SiteProcedure###</t>
  </si>
  <si>
    <t>A-408108-21-22865</t>
  </si>
  <si>
    <t>###TemplateName###</t>
  </si>
  <si>
    <t>הס/03/2021 - כנרת</t>
  </si>
  <si>
    <t>###VatValue###</t>
  </si>
  <si>
    <t>17%</t>
  </si>
  <si>
    <t>###WbsNumber###</t>
  </si>
  <si>
    <t>M-408108-21-00048-00</t>
  </si>
  <si>
    <t>תאריך:</t>
  </si>
  <si>
    <t>לכבוד</t>
  </si>
  <si>
    <t xml:space="preserve">1. </t>
  </si>
  <si>
    <t xml:space="preserve">בהמשך לבקשתכם ובהתאם לנוהל למתן אישור לפי סעיף 9 לחוק הרשויות המקומיות (מכרזים משותפים, התשל"ב 1972) למכרזי מסגרת שעורך ארגון או מוסד ציבורי, פנינו לזוכים בפרקים הרלוונטיים במכרז שבנדון, לצורך קבלת הצעות מחיר. </t>
  </si>
  <si>
    <t xml:space="preserve">2. </t>
  </si>
  <si>
    <t>מצ"ב פירוט ההצעות.</t>
  </si>
  <si>
    <t xml:space="preserve">3. </t>
  </si>
  <si>
    <t xml:space="preserve">4. </t>
  </si>
  <si>
    <t xml:space="preserve">5. </t>
  </si>
  <si>
    <t xml:space="preserve">6. </t>
  </si>
  <si>
    <t>מצ"ב טופס ועדת השלושה.</t>
  </si>
  <si>
    <t>חתימה כנדרש על הטפסים הינה תנאי הכרחי לביצוע ההזמנה.</t>
  </si>
  <si>
    <t xml:space="preserve">7. </t>
  </si>
  <si>
    <t>בכבוד רב,</t>
  </si>
  <si>
    <t>הסעות גאד אליאס</t>
  </si>
  <si>
    <t>מובילי נטופה מ.ע.ן בעמ</t>
  </si>
  <si>
    <t>ההצעה הזולה</t>
  </si>
  <si>
    <t>מס' אשכול</t>
  </si>
  <si>
    <t>קוד מסלול</t>
  </si>
  <si>
    <t>סוג הסעה</t>
  </si>
  <si>
    <t>תיאור מסלול</t>
  </si>
  <si>
    <t>סוג רכב נדרש</t>
  </si>
  <si>
    <t>ימים ושעות איסוף ופיזור</t>
  </si>
  <si>
    <t>אורך מסלול</t>
  </si>
  <si>
    <t>זמן נסיעה</t>
  </si>
  <si>
    <t>מס' נוסעים סה"כ</t>
  </si>
  <si>
    <t>זמן ליווי (דקות)</t>
  </si>
  <si>
    <t xml:space="preserve">עלות ליווי כולל מע"מ ועמלה  </t>
  </si>
  <si>
    <t>כמות רכבים</t>
  </si>
  <si>
    <t>מס' איסופים ביום</t>
  </si>
  <si>
    <t>מס' ימי איסוף</t>
  </si>
  <si>
    <t>מס' פיזורים ביום</t>
  </si>
  <si>
    <t>מס' ימי פיזור</t>
  </si>
  <si>
    <t>מס' ימים בשנה</t>
  </si>
  <si>
    <t>לשקלול?</t>
  </si>
  <si>
    <t>קוד מסלול רשות</t>
  </si>
  <si>
    <t>מחיר משולם ע"י רשות</t>
  </si>
  <si>
    <t>מוסד</t>
  </si>
  <si>
    <t>כמות נסיעות שנתית</t>
  </si>
  <si>
    <t>מחיר פתיחה</t>
  </si>
  <si>
    <t>הצעה</t>
  </si>
  <si>
    <t>שבועי</t>
  </si>
  <si>
    <t>שנתי</t>
  </si>
  <si>
    <t>---</t>
  </si>
  <si>
    <t>אשכול 1</t>
  </si>
  <si>
    <t>X</t>
  </si>
  <si>
    <t>1.1.1</t>
  </si>
  <si>
    <t>21-22865-1-1</t>
  </si>
  <si>
    <t>הסעות חוגים (מפוצלת) עין גב - האון - תל קציר - מעגן - צמח , בית בנדל</t>
  </si>
  <si>
    <t xml:space="preserve">רכב הסעה 10 נוסעים </t>
  </si>
  <si>
    <t xml:space="preserve"> ימים א', ב',ד',ה' 
איסוף - 16:45        
פיזור - 17:15        
פיזור - 19:15</t>
  </si>
  <si>
    <t>1.1.2</t>
  </si>
  <si>
    <t>21-22865-1-2</t>
  </si>
  <si>
    <t xml:space="preserve">רכב הסעה 16 נוסעים </t>
  </si>
  <si>
    <t>אשכול 2</t>
  </si>
  <si>
    <t>1.2.1</t>
  </si>
  <si>
    <t>21-22865-2-1</t>
  </si>
  <si>
    <t>הסעות חוגים (מפוצלת) אלמגור - גינוסר - צמח , בית בנדל</t>
  </si>
  <si>
    <t>רכב הסעה עד 4 נוסעים כולל</t>
  </si>
  <si>
    <t>1.2.2</t>
  </si>
  <si>
    <t>21-22865-2-2</t>
  </si>
  <si>
    <t>אשכול 3</t>
  </si>
  <si>
    <t>1.3.1</t>
  </si>
  <si>
    <t>21-22865-3-1</t>
  </si>
  <si>
    <t>הסעות חוגים (מפוצלת) אלמגור - עין גב - תל קציר - האון - מעגן - צמח , בית בנדל</t>
  </si>
  <si>
    <t xml:space="preserve"> ימים א', ב',ד',ה' 
איסוף - 16:20        
פיזור - 17:15        
פיזור - 19:15</t>
  </si>
  <si>
    <t>1.3.2</t>
  </si>
  <si>
    <t>21-22865-3-2</t>
  </si>
  <si>
    <t>אשכול 4</t>
  </si>
  <si>
    <t>1.4.1</t>
  </si>
  <si>
    <t>21-22865-4-1</t>
  </si>
  <si>
    <t>פיזור בלבד: קיבוץ לביא , ביה"ס יד ששון - פוריה נווה עובד - פוריה עלית - פוריה כפר עבודה</t>
  </si>
  <si>
    <t>ימים א' - ה'  
פיזור -  13:00 
פיזור - 14:35</t>
  </si>
  <si>
    <t>1.4.2</t>
  </si>
  <si>
    <t>21-22865-4-2</t>
  </si>
  <si>
    <t xml:space="preserve">רכב הסעה 14 נוסעים </t>
  </si>
  <si>
    <t>אשכול 5</t>
  </si>
  <si>
    <t>1.5.1</t>
  </si>
  <si>
    <t>21-22865-5-1</t>
  </si>
  <si>
    <t>פיזור בלבד: גבעת אבני , ביה"ס בית חינוך גלילי - פוריה נווה עובד - פוריה עילית - פוריה כפר עבודה</t>
  </si>
  <si>
    <t>ימים א' - ה' 
פיזור - 13:00  
פיזור - 14:35    
פיזור - 15:45</t>
  </si>
  <si>
    <t>1.5.2</t>
  </si>
  <si>
    <t>21-22865-5-2</t>
  </si>
  <si>
    <t>ימי ו'  
פיזור - 11:45</t>
  </si>
  <si>
    <t>1.5.3</t>
  </si>
  <si>
    <t>21-22865-5-3</t>
  </si>
  <si>
    <t>ימים א' - ה'  
פיזור - 13:00 
פיזור - 14:35  
פיזור - 15:45</t>
  </si>
  <si>
    <t>1.5.4</t>
  </si>
  <si>
    <t>21-22865-5-4</t>
  </si>
  <si>
    <t>ימי ו'  
פיזור- 11:45</t>
  </si>
  <si>
    <t>אשכול 6</t>
  </si>
  <si>
    <t>1.6.1</t>
  </si>
  <si>
    <t>21-22865-6-1</t>
  </si>
  <si>
    <t>פוריה נווה עובד - דגניה א - אפיקים - אשדות יעקב איחוד , מכללת כישורי חיים</t>
  </si>
  <si>
    <t>ימים א' - ה'  
איסוף- 07:50 
פיזור - 15:30</t>
  </si>
  <si>
    <t>1.6.2</t>
  </si>
  <si>
    <t>21-22865-6-2</t>
  </si>
  <si>
    <t>ימים א' - ה'  
איסוף - 07:50 
פיזור - 15:30</t>
  </si>
  <si>
    <t>אשכול 7</t>
  </si>
  <si>
    <t>1.7.1</t>
  </si>
  <si>
    <t>21-22865-7-1</t>
  </si>
  <si>
    <t>פוריה כפר עבודה - קיבוץ אלומות - קיבוץ כנרת - דגניה א - דגניה ב - אולמות בעמק</t>
  </si>
  <si>
    <t>איסוף  - 18:50        
פיזור - עפ"י דרישה</t>
  </si>
  <si>
    <t>1.7.2</t>
  </si>
  <si>
    <t>21-22865-7-2</t>
  </si>
  <si>
    <t>1.7.3</t>
  </si>
  <si>
    <t>21-22865-7-3</t>
  </si>
  <si>
    <t xml:space="preserve">רכב הסעה 20 נוסעים </t>
  </si>
  <si>
    <t>אשכול 8</t>
  </si>
  <si>
    <t>1.8.1</t>
  </si>
  <si>
    <t>21-22865-8-1</t>
  </si>
  <si>
    <t>עין גב - האון - תל קציר - מעגן - אולמות בעמק</t>
  </si>
  <si>
    <t>1.8.2</t>
  </si>
  <si>
    <t>21-22865-8-2</t>
  </si>
  <si>
    <t>1.8.3</t>
  </si>
  <si>
    <t>21-22865-8-3</t>
  </si>
  <si>
    <t>אשכול 9</t>
  </si>
  <si>
    <t>1.9.1</t>
  </si>
  <si>
    <t>21-22865-9-1</t>
  </si>
  <si>
    <t>אלמגור- חוקוק - גינוסר - אולמות בעמק</t>
  </si>
  <si>
    <t>איסוף - 18:40        
פיזור - עפ"י דרישה</t>
  </si>
  <si>
    <t>1.9.2</t>
  </si>
  <si>
    <t>21-22865-9-2</t>
  </si>
  <si>
    <t>1.9.3</t>
  </si>
  <si>
    <t>21-22865-9-3</t>
  </si>
  <si>
    <t>אשכול 10</t>
  </si>
  <si>
    <t>1.10.1</t>
  </si>
  <si>
    <t>21-22865-10-1</t>
  </si>
  <si>
    <t>אשדות יעקב איחוד - אשדות יעקב מאוחד - אפיקים - מסדה - שער הגולן - בית זרע - אולמות בעמק</t>
  </si>
  <si>
    <t>1.10.2</t>
  </si>
  <si>
    <t>21-22865-10-2</t>
  </si>
  <si>
    <t>1.10.3</t>
  </si>
  <si>
    <t>21-22865-10-3</t>
  </si>
  <si>
    <t>1.11.1</t>
  </si>
  <si>
    <t>21-22865-11-1</t>
  </si>
  <si>
    <t>פוריה כפר עבודה - פוריה עילית - פוריה נווה עובד - קדמת גליל, מפעלי עבודה</t>
  </si>
  <si>
    <t>ימים א' - ה'  
איסוף - 07:00 
פיזור - 16:00</t>
  </si>
  <si>
    <t>1.11.2</t>
  </si>
  <si>
    <t>21-22865-11-2</t>
  </si>
  <si>
    <t>פוריה כפר עבודה - פוריה עילית - פוריה נווה עובד -  קיבוץ כנרת , מפעל - אשדות יעקב איחוד , מפעל</t>
  </si>
  <si>
    <t>אשכול 12</t>
  </si>
  <si>
    <t>1.12.1</t>
  </si>
  <si>
    <t>21-22865-12-1</t>
  </si>
  <si>
    <t xml:space="preserve">חוקוק - גינוסר, ביה"ס נופי ארבל </t>
  </si>
  <si>
    <t xml:space="preserve">רכב הסעה 50-55 נוסעים </t>
  </si>
  <si>
    <t xml:space="preserve">ימים א' - ו' 
איסוף - 07:30 
פיזור - 13:15
פיזור - 14:10 </t>
  </si>
  <si>
    <t>1.12.2</t>
  </si>
  <si>
    <t>21-22865-12-2</t>
  </si>
  <si>
    <t xml:space="preserve">אלמגור - גינוסר, ביה"ס נופי ארבל </t>
  </si>
  <si>
    <t>אשכול 13</t>
  </si>
  <si>
    <t>1.13.1</t>
  </si>
  <si>
    <t>21-22865-13-1</t>
  </si>
  <si>
    <t xml:space="preserve">כפר עבודה - פוריה עילית - נווה עובד - לביא, ביה"ס שירת הגליל , בית חינוך גלילי </t>
  </si>
  <si>
    <t xml:space="preserve">איסוף - 07:00 ימים א' - ו' 
פיזור - 12:45 ימים א' - ה' 
פיזור - 11:45 יום ו' </t>
  </si>
  <si>
    <t>1.13.2</t>
  </si>
  <si>
    <t>21-22865-13-2</t>
  </si>
  <si>
    <t>פיזור בלבד:
 לביא, ביה"ס שירת הגליל , בית חינוך גלילי - נווה עובד - פוריה עילית - כפר  עבודה</t>
  </si>
  <si>
    <t>פיזור - 14:30 ימים א' - ה' 
פיזור - 15:30 ימים א' - ו'
פיזור - 11:45 יום ו' - עד 2 פיזורים</t>
  </si>
  <si>
    <t>אשכול 14</t>
  </si>
  <si>
    <t>1.14.1</t>
  </si>
  <si>
    <t>21-22865-14-1</t>
  </si>
  <si>
    <t>קיבוץ כנרת - פוריה עילית - בית זרע - אפיקים, ביה"ס אפיקי ירדן</t>
  </si>
  <si>
    <t xml:space="preserve">איסוף - 07:20 ימים א' - ו' 
פיזור - ע"פ מערכת ימים א' - ו' </t>
  </si>
  <si>
    <t>1.14.2</t>
  </si>
  <si>
    <t>21-22865-14-2</t>
  </si>
  <si>
    <t>2.1</t>
  </si>
  <si>
    <t>21-22865-0-1</t>
  </si>
  <si>
    <t xml:space="preserve">אשדות יעקב איחוד - אפיקים - דגניה א - קיבוץ כנרת, ביה"ס נעמי שמרה
הסעה עם מלווה מטעם הקבלן </t>
  </si>
  <si>
    <t>רכב הסעה 5-8 נוסעים כולל</t>
  </si>
  <si>
    <t>ימים א' - ה'
איסוף  - 07:10     
פיזור  - 13:15</t>
  </si>
  <si>
    <t>2.2</t>
  </si>
  <si>
    <t>21-22865-0-2</t>
  </si>
  <si>
    <t>צומת צמח, בית בנדל - חוקוק, בית המעיין</t>
  </si>
  <si>
    <t>ימים א' - ה'
איסוף  - 07:10     
פיזור  - 14:00</t>
  </si>
  <si>
    <t>2.4</t>
  </si>
  <si>
    <t>21-22865-0-4</t>
  </si>
  <si>
    <t>איסוף בלבד: אלמגור - גינוסר , ביה"ס נופי ארבל  - בית ירח  , ביה"ס תיכון בית ירח</t>
  </si>
  <si>
    <t>ימים א' - ה'  
איסוף  - 07:15</t>
  </si>
  <si>
    <t>2.5</t>
  </si>
  <si>
    <t>21-22865-0-5</t>
  </si>
  <si>
    <t xml:space="preserve">עין גב - מעגן - דגניה ב - קיבוץ כנרת, ביה"ס נעמי שמר
הסעה עם מלווה מטעם הקבלן </t>
  </si>
  <si>
    <t xml:space="preserve">ימים א' - ה'  
איסוף -  07:15
פיזור  - ע"פ מערכת </t>
  </si>
  <si>
    <t>2.7</t>
  </si>
  <si>
    <t>21-22865-0-7</t>
  </si>
  <si>
    <t>מושבה כנרת - צומת מחניים , מועדון יחדיו .</t>
  </si>
  <si>
    <t>איסוף - 07:15 ימים א' - ו' 
פיזור - 16:00 ימים א' - ה'  
פיזור - עפ"י מערכת יום ו'</t>
  </si>
  <si>
    <t>2.8</t>
  </si>
  <si>
    <t>21-22865-0-8</t>
  </si>
  <si>
    <t>נווה עובד - פוריה עלית - מעגן - דגניה ב, בית החינוך (כביש הראשי)</t>
  </si>
  <si>
    <t xml:space="preserve">איסוף - 07:20 ימים א' - ו' 
פיזור - ע"פ מערכת ימים א' - ו' 	</t>
  </si>
  <si>
    <t>סה"כ</t>
  </si>
  <si>
    <t xml:space="preserve"> ימים א', ב',ד',ה' 
 איסוף - 16:45     
   פיזור - 17:15    
פיזור - 19:15</t>
  </si>
  <si>
    <t xml:space="preserve"> ימים א', ב',ד',ה'
איסוף - 16:45  
פיזור - 17:15 
פיזור - 19:15</t>
  </si>
  <si>
    <t xml:space="preserve">נא הודיעו בהקדם על החלטתכם למנהל/ ת פרויקט  </t>
  </si>
  <si>
    <r>
      <t xml:space="preserve">לתשומת ליבכם: על פי סעיף 13.10 למסמכי המכרז, ככל שיתברר כי ישנן מספר הצעות שבכולן ההצעה זהה להצעה הנמוכה ביותר, תערוך הרשות המזמינה הגרלה בין אותן הצעות לבחירת ההצעה הזוכה בנוהל הצעת המחיר.
</t>
    </r>
    <r>
      <rPr>
        <b/>
        <sz val="10"/>
        <rFont val="Tahoma"/>
        <family val="2"/>
      </rPr>
      <t>במסלול 21-22865-0-6 ישנן מספר הצעות זוכות לכן על הרשות לבצע הגרלה</t>
    </r>
    <r>
      <rPr>
        <sz val="10"/>
        <rFont val="Tahoma"/>
        <family val="2"/>
      </rPr>
      <t>.
כמו כן, על ועדת השלושה לקבוע  בכל המסלולים את הקבלן הזוכה. ככל שלא התקבלה החלטה על זוכה בנוהל או ככל שמסלול בוטל - יש לציין זאת במסמך החלטת הוועדה.</t>
    </r>
  </si>
  <si>
    <t xml:space="preserve">אשכול 11 </t>
  </si>
  <si>
    <t>210 על רכב 20</t>
  </si>
  <si>
    <t>קבלן זוכה</t>
  </si>
  <si>
    <t xml:space="preserve">מחיר זכיה לא כולל מע"מ </t>
  </si>
  <si>
    <t xml:space="preserve">מחיר מכרז 2019 </t>
  </si>
  <si>
    <t>הערות</t>
  </si>
  <si>
    <t xml:space="preserve">מנור את אדיר </t>
  </si>
  <si>
    <t>מובילי נטופה</t>
  </si>
  <si>
    <t>אורי אדוני</t>
  </si>
  <si>
    <t>הסעות ג'אד</t>
  </si>
  <si>
    <t xml:space="preserve">ירון בר </t>
  </si>
  <si>
    <t>רכב 20</t>
  </si>
  <si>
    <t>חדש</t>
  </si>
  <si>
    <t xml:space="preserve">חדש </t>
  </si>
  <si>
    <t xml:space="preserve">הפרש </t>
  </si>
  <si>
    <t xml:space="preserve">קבלן זוכה </t>
  </si>
  <si>
    <t>ירון בר</t>
  </si>
  <si>
    <t>תא ריק</t>
  </si>
  <si>
    <t>סוף מסמך</t>
  </si>
  <si>
    <t>מחיר פתיחה2</t>
  </si>
  <si>
    <t>הצעה3</t>
  </si>
  <si>
    <t>שבועי4</t>
  </si>
  <si>
    <t>שנתי5</t>
  </si>
  <si>
    <t>מחיר פתיחה6</t>
  </si>
  <si>
    <t>הצעה7</t>
  </si>
  <si>
    <t>שבועי8</t>
  </si>
  <si>
    <t>שנתי9</t>
  </si>
  <si>
    <t>מחיר פתיחה10</t>
  </si>
  <si>
    <t>תא ריק11</t>
  </si>
  <si>
    <t>תא ריק12</t>
  </si>
  <si>
    <t>הצעה13</t>
  </si>
  <si>
    <t>שבועי14</t>
  </si>
  <si>
    <t>שנתי15</t>
  </si>
  <si>
    <t>מחיר פתיחה16</t>
  </si>
  <si>
    <t>אשכולות</t>
  </si>
  <si>
    <t>מסלולים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</si>
</sst>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40D]\ * #,##0.00_ ;_ [$₪-40D]\ * \-#,##0.00_ ;_ [$₪-40D]\ * &quot;-&quot;??_ ;_ @_ "/>
    <numFmt numFmtId="166" formatCode="0.0000"/>
    <numFmt numFmtId="167" formatCode="&quot;₪&quot;\ #,##0.00"/>
    <numFmt numFmtId="168" formatCode="#,##0.00%"/>
    <numFmt numFmtId="169" formatCode="#,##0%"/>
    <numFmt numFmtId="170" formatCode="#,##0.0000"/>
    <numFmt numFmtId="171" formatCode="\₪#,##0.00"/>
    <numFmt numFmtId="172" formatCode="0.0"/>
  </numFmts>
  <fonts count="56" x14ac:knownFonts="1">
    <font>
      <sz val="11"/>
      <color theme="1"/>
      <name val="Arial"/>
      <family val="2"/>
      <charset val="177"/>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5"/>
      <color theme="3"/>
      <name val="Arial"/>
      <family val="2"/>
      <scheme val="minor"/>
    </font>
    <font>
      <b/>
      <sz val="11"/>
      <color theme="3"/>
      <name val="Arial"/>
      <family val="2"/>
      <scheme val="minor"/>
    </font>
    <font>
      <sz val="11"/>
      <color rgb="FF000000"/>
      <name val="Calibri"/>
      <family val="2"/>
    </font>
    <font>
      <sz val="11"/>
      <color rgb="FFFF0000"/>
      <name val="Calibri"/>
      <family val="2"/>
    </font>
    <font>
      <sz val="11"/>
      <color rgb="FF0000FF"/>
      <name val="Calibri"/>
      <family val="2"/>
    </font>
    <font>
      <sz val="11"/>
      <color rgb="FF9C5700"/>
      <name val="Arial"/>
      <family val="2"/>
      <scheme val="minor"/>
    </font>
    <font>
      <b/>
      <sz val="11"/>
      <color rgb="FFFA7D00"/>
      <name val="Arial"/>
      <family val="2"/>
      <scheme val="minor"/>
    </font>
    <font>
      <sz val="11"/>
      <color rgb="FF9C0006"/>
      <name val="Arial"/>
      <family val="2"/>
      <scheme val="minor"/>
    </font>
    <font>
      <sz val="11"/>
      <color rgb="FF3F3F76"/>
      <name val="Arial"/>
      <family val="2"/>
      <scheme val="minor"/>
    </font>
    <font>
      <sz val="11"/>
      <name val="Calibri"/>
      <family val="2"/>
    </font>
    <font>
      <sz val="10"/>
      <name val="Tahoma"/>
      <family val="2"/>
    </font>
    <font>
      <b/>
      <sz val="11"/>
      <name val="Tahoma"/>
      <family val="2"/>
    </font>
    <font>
      <b/>
      <sz val="10"/>
      <name val="Tahoma"/>
      <family val="2"/>
    </font>
    <font>
      <b/>
      <sz val="11"/>
      <color theme="1"/>
      <name val="Arial"/>
      <family val="2"/>
      <scheme val="minor"/>
    </font>
    <font>
      <b/>
      <sz val="10"/>
      <color theme="1"/>
      <name val="Tahoma"/>
      <family val="2"/>
    </font>
    <font>
      <sz val="10"/>
      <color theme="1"/>
      <name val="Tahoma"/>
      <family val="2"/>
    </font>
    <font>
      <b/>
      <sz val="11"/>
      <color rgb="FF9C5700"/>
      <name val="Arial"/>
      <family val="2"/>
      <scheme val="minor"/>
    </font>
    <font>
      <b/>
      <sz val="11"/>
      <color theme="3"/>
      <name val="Arial"/>
      <family val="2"/>
      <charset val="177"/>
      <scheme val="minor"/>
    </font>
    <font>
      <b/>
      <sz val="11"/>
      <color rgb="FF3F3F76"/>
      <name val="Arial"/>
      <family val="2"/>
      <scheme val="minor"/>
    </font>
    <font>
      <sz val="11"/>
      <color theme="1"/>
      <name val="Arial"/>
      <family val="2"/>
      <charset val="177"/>
      <scheme val="minor"/>
    </font>
    <font>
      <sz val="18"/>
      <color theme="1"/>
      <name val="Arial"/>
      <family val="2"/>
      <scheme val="minor"/>
    </font>
    <font>
      <b/>
      <sz val="18"/>
      <color theme="1"/>
      <name val="Arial"/>
      <family val="2"/>
      <scheme val="minor"/>
    </font>
    <font>
      <sz val="11"/>
      <color theme="1"/>
      <name val="Tahoma"/>
      <family val="2"/>
    </font>
    <font>
      <b/>
      <sz val="18"/>
      <color theme="3"/>
      <name val="Arial"/>
      <family val="2"/>
      <scheme val="minor"/>
    </font>
    <font>
      <b/>
      <sz val="20"/>
      <color theme="3"/>
      <name val="Arial"/>
      <family val="2"/>
      <scheme val="minor"/>
    </font>
    <font>
      <b/>
      <sz val="20"/>
      <color theme="1"/>
      <name val="Arial"/>
      <family val="2"/>
      <scheme val="minor"/>
    </font>
    <font>
      <sz val="20"/>
      <color theme="1"/>
      <name val="Arial"/>
      <family val="2"/>
      <scheme val="minor"/>
    </font>
    <font>
      <b/>
      <sz val="20"/>
      <color rgb="FF002060"/>
      <name val="Arial"/>
      <family val="2"/>
      <scheme val="minor"/>
    </font>
    <font>
      <sz val="30"/>
      <color theme="1"/>
      <name val="David"/>
      <family val="2"/>
    </font>
    <font>
      <sz val="24"/>
      <color theme="1"/>
      <name val="Arial"/>
      <family val="2"/>
      <charset val="177"/>
      <scheme val="minor"/>
    </font>
    <font>
      <sz val="26"/>
      <color theme="1"/>
      <name val="Arial"/>
      <family val="2"/>
      <charset val="177"/>
      <scheme val="minor"/>
    </font>
    <font>
      <sz val="11"/>
      <color theme="0"/>
      <name val="Arial"/>
      <family val="2"/>
      <scheme val="minor"/>
    </font>
    <font>
      <sz val="10"/>
      <color theme="0"/>
      <name val="Tahoma"/>
      <family val="2"/>
    </font>
    <font>
      <sz val="12"/>
      <color theme="0"/>
      <name val="Tahoma"/>
      <family val="2"/>
    </font>
    <font>
      <sz val="9"/>
      <color theme="0"/>
      <name val="Tahoma"/>
      <family val="2"/>
    </font>
    <font>
      <b/>
      <sz val="11"/>
      <color theme="0"/>
      <name val="Tahoma"/>
      <family val="2"/>
    </font>
    <font>
      <sz val="11"/>
      <color theme="0"/>
      <name val="Tahoma"/>
      <family val="2"/>
    </font>
    <font>
      <b/>
      <u/>
      <sz val="11"/>
      <color theme="0"/>
      <name val="Tahoma"/>
      <family val="2"/>
    </font>
    <font>
      <b/>
      <sz val="12"/>
      <color theme="0"/>
      <name val="Tahoma"/>
      <family val="2"/>
    </font>
    <font>
      <u/>
      <sz val="14"/>
      <color theme="0"/>
      <name val="Tahoma"/>
      <family val="2"/>
    </font>
    <font>
      <u/>
      <sz val="12"/>
      <color theme="0"/>
      <name val="Tahoma"/>
      <family val="2"/>
    </font>
    <font>
      <b/>
      <sz val="10"/>
      <color theme="0"/>
      <name val="Tahoma"/>
      <family val="2"/>
    </font>
    <font>
      <b/>
      <u/>
      <sz val="11"/>
      <color theme="1"/>
      <name val="Tahoma"/>
      <family val="2"/>
    </font>
    <font>
      <b/>
      <sz val="20"/>
      <color theme="0"/>
      <name val="Arial"/>
      <family val="2"/>
      <scheme val="minor"/>
    </font>
    <font>
      <sz val="18"/>
      <color theme="0"/>
      <name val="Arial"/>
      <family val="2"/>
      <scheme val="minor"/>
    </font>
    <font>
      <b/>
      <sz val="18"/>
      <color theme="0"/>
      <name val="Arial"/>
      <family val="2"/>
      <scheme val="minor"/>
    </font>
    <font>
      <b/>
      <sz val="15"/>
      <color rgb="FFDDEBF7"/>
      <name val="Arial"/>
      <family val="2"/>
      <scheme val="minor"/>
    </font>
    <font>
      <b/>
      <sz val="18"/>
      <color rgb="FFFFFF00"/>
      <name val="Arial"/>
      <family val="2"/>
      <scheme val="minor"/>
    </font>
    <font>
      <sz val="18"/>
      <color rgb="FFFFFF00"/>
      <name val="Arial"/>
      <family val="2"/>
      <scheme val="minor"/>
    </font>
    <font>
      <sz val="18"/>
      <color rgb="FFFFC000"/>
      <name val="Arial"/>
      <family val="2"/>
      <scheme val="minor"/>
    </font>
    <font>
      <b/>
      <sz val="18"/>
      <color rgb="FFFFC000"/>
      <name val="Arial"/>
      <family val="2"/>
      <scheme val="minor"/>
    </font>
  </fonts>
  <fills count="15">
    <fill>
      <patternFill patternType="none"/>
    </fill>
    <fill>
      <patternFill patternType="gray125"/>
    </fill>
    <fill>
      <patternFill patternType="solid">
        <fgColor rgb="FFFFEB9C"/>
      </patternFill>
    </fill>
    <fill>
      <patternFill patternType="solid">
        <fgColor rgb="FFF2F2F2"/>
      </patternFill>
    </fill>
    <fill>
      <patternFill patternType="solid">
        <fgColor rgb="FFFFC7CE"/>
      </patternFill>
    </fill>
    <fill>
      <patternFill patternType="solid">
        <fgColor rgb="FFFFCC99"/>
      </patternFill>
    </fill>
    <fill>
      <patternFill patternType="solid">
        <fgColor theme="8" tint="0.59999389629810485"/>
        <bgColor indexed="65"/>
      </patternFill>
    </fill>
    <fill>
      <patternFill patternType="solid">
        <fgColor theme="0"/>
        <bgColor indexed="64"/>
      </patternFill>
    </fill>
    <fill>
      <patternFill patternType="solid">
        <fgColor rgb="FFDDEBF7"/>
        <bgColor indexed="64"/>
      </patternFill>
    </fill>
    <fill>
      <patternFill patternType="solid">
        <fgColor rgb="FFFF0000"/>
        <bgColor indexed="64"/>
      </patternFill>
    </fill>
    <fill>
      <patternFill patternType="solid">
        <fgColor rgb="FFF5F5F5"/>
        <bgColor indexed="64"/>
      </patternFill>
    </fill>
    <fill>
      <patternFill patternType="solid">
        <fgColor rgb="FF32CD3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26">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theme="4"/>
      </left>
      <right style="medium">
        <color theme="4"/>
      </right>
      <top style="medium">
        <color theme="4"/>
      </top>
      <bottom style="medium">
        <color theme="4"/>
      </bottom>
      <diagonal/>
    </border>
    <border>
      <left style="medium">
        <color theme="4"/>
      </left>
      <right style="medium">
        <color theme="4"/>
      </right>
      <top style="thick">
        <color rgb="FF00BFFF"/>
      </top>
      <bottom style="medium">
        <color theme="4"/>
      </bottom>
      <diagonal/>
    </border>
    <border>
      <left style="thick">
        <color rgb="FF00BFFF"/>
      </left>
      <right style="medium">
        <color theme="4"/>
      </right>
      <top style="thick">
        <color rgb="FF00BFFF"/>
      </top>
      <bottom style="medium">
        <color theme="4"/>
      </bottom>
      <diagonal/>
    </border>
    <border>
      <left style="thick">
        <color rgb="FF00BFFF"/>
      </left>
      <right style="medium">
        <color theme="4"/>
      </right>
      <top style="medium">
        <color theme="4"/>
      </top>
      <bottom style="medium">
        <color theme="4"/>
      </bottom>
      <diagonal/>
    </border>
    <border>
      <left style="medium">
        <color theme="4"/>
      </left>
      <right style="thick">
        <color rgb="FF00BFFF"/>
      </right>
      <top style="thick">
        <color rgb="FF00BFFF"/>
      </top>
      <bottom style="medium">
        <color theme="4"/>
      </bottom>
      <diagonal/>
    </border>
    <border>
      <left style="medium">
        <color theme="4"/>
      </left>
      <right style="thick">
        <color rgb="FF00BFFF"/>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style="medium">
        <color theme="4"/>
      </right>
      <top/>
      <bottom style="medium">
        <color theme="4"/>
      </bottom>
      <diagonal/>
    </border>
    <border>
      <left/>
      <right/>
      <top/>
      <bottom style="medium">
        <color theme="4"/>
      </bottom>
      <diagonal/>
    </border>
    <border>
      <left style="medium">
        <color theme="4"/>
      </left>
      <right style="medium">
        <color theme="4"/>
      </right>
      <top/>
      <bottom style="medium">
        <color theme="4"/>
      </bottom>
      <diagonal/>
    </border>
    <border>
      <left style="thick">
        <color rgb="FF00BFFF"/>
      </left>
      <right style="medium">
        <color theme="4"/>
      </right>
      <top/>
      <bottom style="medium">
        <color theme="4"/>
      </bottom>
      <diagonal/>
    </border>
    <border>
      <left style="medium">
        <color theme="4"/>
      </left>
      <right style="thick">
        <color rgb="FF00BFFF"/>
      </right>
      <top/>
      <bottom style="medium">
        <color theme="4"/>
      </bottom>
      <diagonal/>
    </border>
    <border>
      <left/>
      <right style="medium">
        <color theme="4"/>
      </right>
      <top style="medium">
        <color theme="4"/>
      </top>
      <bottom/>
      <diagonal/>
    </border>
    <border>
      <left style="medium">
        <color theme="4"/>
      </left>
      <right style="medium">
        <color theme="4"/>
      </right>
      <top style="medium">
        <color theme="4"/>
      </top>
      <bottom/>
      <diagonal/>
    </border>
    <border>
      <left/>
      <right/>
      <top style="medium">
        <color theme="4"/>
      </top>
      <bottom/>
      <diagonal/>
    </border>
  </borders>
  <cellStyleXfs count="23">
    <xf numFmtId="0" fontId="0" fillId="0" borderId="0"/>
    <xf numFmtId="0" fontId="4" fillId="6" borderId="0"/>
    <xf numFmtId="0" fontId="2" fillId="6" borderId="0"/>
    <xf numFmtId="0" fontId="12" fillId="4" borderId="0"/>
    <xf numFmtId="0" fontId="11" fillId="3" borderId="3"/>
    <xf numFmtId="164" fontId="3" fillId="0" borderId="0"/>
    <xf numFmtId="164" fontId="2" fillId="0" borderId="0"/>
    <xf numFmtId="164" fontId="2" fillId="0" borderId="0"/>
    <xf numFmtId="0" fontId="5" fillId="0" borderId="1"/>
    <xf numFmtId="0" fontId="5" fillId="0" borderId="1"/>
    <xf numFmtId="0" fontId="6" fillId="0" borderId="2"/>
    <xf numFmtId="0" fontId="13" fillId="5" borderId="3"/>
    <xf numFmtId="0" fontId="10" fillId="2" borderId="0"/>
    <xf numFmtId="0" fontId="10" fillId="2" borderId="0"/>
    <xf numFmtId="0" fontId="3" fillId="0" borderId="0"/>
    <xf numFmtId="0" fontId="2" fillId="0" borderId="0"/>
    <xf numFmtId="0" fontId="2" fillId="0" borderId="0"/>
    <xf numFmtId="0" fontId="22" fillId="0" borderId="2"/>
    <xf numFmtId="0" fontId="24" fillId="0" borderId="0"/>
    <xf numFmtId="0" fontId="12" fillId="4" borderId="0"/>
    <xf numFmtId="0" fontId="13" fillId="5" borderId="3"/>
    <xf numFmtId="0" fontId="11" fillId="3" borderId="3"/>
    <xf numFmtId="0" fontId="10" fillId="2" borderId="0"/>
  </cellStyleXfs>
  <cellXfs count="205">
    <xf numFmtId="0" fontId="0" fillId="0" borderId="0" xfId="0" applyNumberFormat="1" applyFont="1" applyFill="1" applyBorder="1" applyProtection="1"/>
    <xf numFmtId="0" fontId="5" fillId="0" borderId="1" xfId="8" applyNumberFormat="1" applyFont="1" applyFill="1" applyBorder="1" applyProtection="1"/>
    <xf numFmtId="0" fontId="5" fillId="0" borderId="1" xfId="8"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xf>
    <xf numFmtId="0" fontId="10" fillId="2" borderId="5" xfId="12" applyNumberFormat="1" applyFont="1" applyFill="1" applyBorder="1" applyProtection="1"/>
    <xf numFmtId="0" fontId="4" fillId="6" borderId="5" xfId="1" applyNumberFormat="1" applyFont="1" applyFill="1" applyBorder="1" applyProtection="1"/>
    <xf numFmtId="0" fontId="4" fillId="0" borderId="0" xfId="1" applyNumberFormat="1" applyFont="1" applyFill="1" applyBorder="1" applyProtection="1"/>
    <xf numFmtId="0" fontId="18" fillId="6" borderId="5" xfId="1" applyNumberFormat="1" applyFont="1" applyFill="1" applyBorder="1" applyAlignment="1" applyProtection="1">
      <alignment horizontal="center" vertical="center"/>
    </xf>
    <xf numFmtId="0" fontId="10" fillId="2" borderId="5" xfId="13" applyNumberFormat="1" applyFont="1" applyFill="1" applyBorder="1" applyProtection="1"/>
    <xf numFmtId="0" fontId="18" fillId="6" borderId="6" xfId="1" applyNumberFormat="1" applyFont="1" applyFill="1" applyBorder="1" applyAlignment="1" applyProtection="1">
      <alignment horizontal="center" vertical="center"/>
    </xf>
    <xf numFmtId="0" fontId="4" fillId="6" borderId="6" xfId="1" applyNumberFormat="1" applyFont="1" applyFill="1" applyBorder="1" applyProtection="1"/>
    <xf numFmtId="0" fontId="4" fillId="6" borderId="7" xfId="1" applyNumberFormat="1" applyFont="1" applyFill="1" applyBorder="1" applyProtection="1"/>
    <xf numFmtId="0" fontId="10" fillId="2" borderId="5" xfId="13" applyNumberFormat="1" applyFont="1" applyFill="1" applyBorder="1" applyAlignment="1" applyProtection="1">
      <alignment horizontal="center"/>
    </xf>
    <xf numFmtId="0" fontId="10" fillId="2" borderId="5" xfId="13" applyNumberFormat="1" applyFont="1" applyFill="1" applyBorder="1" applyAlignment="1" applyProtection="1">
      <alignment horizontal="center" vertical="center"/>
    </xf>
    <xf numFmtId="0" fontId="21" fillId="2" borderId="5" xfId="13" applyNumberFormat="1" applyFont="1" applyFill="1" applyBorder="1" applyAlignment="1" applyProtection="1">
      <alignment horizontal="center" vertical="center"/>
    </xf>
    <xf numFmtId="0" fontId="1" fillId="6" borderId="5" xfId="1" applyNumberFormat="1" applyFont="1" applyFill="1" applyBorder="1" applyProtection="1"/>
    <xf numFmtId="0" fontId="0" fillId="0" borderId="0" xfId="0" applyNumberFormat="1" applyFont="1" applyFill="1" applyBorder="1" applyAlignment="1" applyProtection="1">
      <alignment horizontal="right"/>
    </xf>
    <xf numFmtId="0" fontId="1" fillId="0" borderId="6" xfId="1" applyNumberFormat="1" applyFont="1" applyFill="1" applyBorder="1" applyProtection="1"/>
    <xf numFmtId="0" fontId="4" fillId="6" borderId="0" xfId="1" applyNumberFormat="1" applyFont="1" applyFill="1" applyBorder="1" applyProtection="1"/>
    <xf numFmtId="0" fontId="0" fillId="0" borderId="5" xfId="0" applyNumberFormat="1" applyFont="1" applyFill="1" applyBorder="1" applyProtection="1"/>
    <xf numFmtId="0" fontId="4" fillId="6" borderId="8" xfId="1" applyNumberFormat="1" applyFont="1" applyFill="1" applyBorder="1" applyProtection="1"/>
    <xf numFmtId="0" fontId="1" fillId="6" borderId="9" xfId="1" applyNumberFormat="1" applyFont="1" applyFill="1" applyBorder="1" applyProtection="1"/>
    <xf numFmtId="0" fontId="1" fillId="6" borderId="6" xfId="1" applyNumberFormat="1" applyFont="1" applyFill="1" applyBorder="1" applyProtection="1"/>
    <xf numFmtId="0" fontId="1" fillId="0" borderId="0" xfId="0" applyNumberFormat="1" applyFont="1" applyFill="1" applyBorder="1" applyProtection="1"/>
    <xf numFmtId="0" fontId="0" fillId="0" borderId="0" xfId="18" applyNumberFormat="1" applyFont="1" applyFill="1" applyBorder="1" applyProtection="1"/>
    <xf numFmtId="0" fontId="12" fillId="4" borderId="0" xfId="19" applyNumberFormat="1" applyFont="1" applyFill="1" applyBorder="1" applyProtection="1"/>
    <xf numFmtId="0" fontId="12" fillId="4" borderId="0" xfId="19" applyNumberFormat="1" applyFont="1" applyFill="1" applyBorder="1" applyAlignment="1" applyProtection="1">
      <alignment horizontal="center" vertical="center" readingOrder="2"/>
    </xf>
    <xf numFmtId="1" fontId="12" fillId="4" borderId="3" xfId="19" applyNumberFormat="1" applyFont="1" applyFill="1" applyBorder="1" applyAlignment="1" applyProtection="1">
      <alignment horizontal="center" vertical="center" readingOrder="1"/>
    </xf>
    <xf numFmtId="0" fontId="13" fillId="5" borderId="3" xfId="20" applyNumberFormat="1" applyFont="1" applyFill="1" applyBorder="1" applyProtection="1"/>
    <xf numFmtId="0" fontId="8" fillId="0" borderId="0" xfId="18" applyNumberFormat="1" applyFont="1" applyFill="1" applyBorder="1" applyAlignment="1" applyProtection="1">
      <alignment horizontal="center" vertical="center" readingOrder="2"/>
    </xf>
    <xf numFmtId="1" fontId="11" fillId="3" borderId="3" xfId="21" applyNumberFormat="1" applyFont="1" applyFill="1" applyBorder="1" applyAlignment="1" applyProtection="1">
      <alignment horizontal="center" vertical="center" readingOrder="1"/>
    </xf>
    <xf numFmtId="0" fontId="7" fillId="0" borderId="0" xfId="18" applyNumberFormat="1" applyFont="1" applyFill="1" applyBorder="1" applyAlignment="1" applyProtection="1">
      <alignment horizontal="center" vertical="center" readingOrder="2"/>
    </xf>
    <xf numFmtId="0" fontId="9" fillId="0" borderId="0" xfId="18" applyNumberFormat="1" applyFont="1" applyFill="1" applyBorder="1" applyAlignment="1" applyProtection="1">
      <alignment horizontal="center" vertical="center" readingOrder="2"/>
    </xf>
    <xf numFmtId="0" fontId="21" fillId="9" borderId="0" xfId="22" applyNumberFormat="1" applyFont="1" applyFill="1" applyBorder="1" applyProtection="1"/>
    <xf numFmtId="0" fontId="21" fillId="9" borderId="0" xfId="22" applyNumberFormat="1" applyFont="1" applyFill="1" applyBorder="1" applyAlignment="1" applyProtection="1">
      <alignment horizontal="center" vertical="center"/>
    </xf>
    <xf numFmtId="165" fontId="21" fillId="9" borderId="3" xfId="22" applyNumberFormat="1" applyFont="1" applyFill="1" applyBorder="1" applyAlignment="1" applyProtection="1">
      <alignment horizontal="center"/>
    </xf>
    <xf numFmtId="166" fontId="21" fillId="9" borderId="0" xfId="22" applyNumberFormat="1" applyFont="1" applyFill="1" applyBorder="1" applyProtection="1"/>
    <xf numFmtId="0" fontId="23" fillId="9" borderId="4" xfId="20" applyNumberFormat="1" applyFont="1" applyFill="1" applyBorder="1" applyProtection="1"/>
    <xf numFmtId="168" fontId="0" fillId="0" borderId="0" xfId="0" applyNumberFormat="1" applyFont="1" applyFill="1" applyBorder="1" applyAlignment="1" applyProtection="1">
      <alignment horizontal="right"/>
    </xf>
    <xf numFmtId="169" fontId="0" fillId="0" borderId="0" xfId="0" applyNumberFormat="1" applyFont="1" applyFill="1" applyBorder="1" applyAlignment="1" applyProtection="1">
      <alignment horizontal="right"/>
    </xf>
    <xf numFmtId="170" fontId="0" fillId="0" borderId="0" xfId="0" applyNumberFormat="1"/>
    <xf numFmtId="0" fontId="25" fillId="0" borderId="0" xfId="0" applyNumberFormat="1" applyFont="1" applyFill="1" applyBorder="1" applyProtection="1"/>
    <xf numFmtId="0" fontId="1" fillId="0" borderId="0" xfId="15" applyFont="1"/>
    <xf numFmtId="49" fontId="15" fillId="0" borderId="0" xfId="15" applyNumberFormat="1" applyFont="1" applyAlignment="1">
      <alignment horizontal="left" vertical="top" readingOrder="2"/>
    </xf>
    <xf numFmtId="49" fontId="15" fillId="0" borderId="0" xfId="15" applyNumberFormat="1" applyFont="1" applyAlignment="1">
      <alignment horizontal="left" readingOrder="2"/>
    </xf>
    <xf numFmtId="0" fontId="14" fillId="0" borderId="0" xfId="15" applyFont="1"/>
    <xf numFmtId="0" fontId="25" fillId="0" borderId="0" xfId="0" applyNumberFormat="1" applyFont="1" applyFill="1" applyBorder="1" applyAlignment="1" applyProtection="1">
      <alignment wrapText="1"/>
    </xf>
    <xf numFmtId="0" fontId="26" fillId="8" borderId="10" xfId="0" applyNumberFormat="1" applyFont="1" applyFill="1" applyBorder="1" applyAlignment="1" applyProtection="1">
      <alignment horizontal="center" vertical="center" wrapText="1"/>
    </xf>
    <xf numFmtId="4" fontId="28" fillId="7" borderId="10" xfId="17" applyNumberFormat="1" applyFont="1" applyFill="1" applyBorder="1" applyAlignment="1" applyProtection="1">
      <alignment horizontal="center" vertical="center" wrapText="1"/>
    </xf>
    <xf numFmtId="0" fontId="28" fillId="7" borderId="10" xfId="17" applyNumberFormat="1" applyFont="1" applyFill="1" applyBorder="1" applyAlignment="1" applyProtection="1">
      <alignment horizontal="center" vertical="center" wrapText="1"/>
    </xf>
    <xf numFmtId="4" fontId="26" fillId="0" borderId="10" xfId="0" applyNumberFormat="1" applyFont="1" applyFill="1" applyBorder="1" applyAlignment="1" applyProtection="1">
      <alignment horizontal="center" vertical="center" wrapText="1"/>
    </xf>
    <xf numFmtId="4" fontId="26" fillId="7" borderId="10" xfId="0" applyNumberFormat="1" applyFont="1" applyFill="1" applyBorder="1" applyAlignment="1" applyProtection="1">
      <alignment horizontal="center" vertical="center" wrapText="1"/>
    </xf>
    <xf numFmtId="4" fontId="26" fillId="12" borderId="10" xfId="0" applyNumberFormat="1" applyFont="1" applyFill="1" applyBorder="1" applyAlignment="1" applyProtection="1">
      <alignment horizontal="center" vertical="center" wrapText="1"/>
    </xf>
    <xf numFmtId="0" fontId="26" fillId="7" borderId="10" xfId="0" applyNumberFormat="1" applyFont="1" applyFill="1" applyBorder="1" applyAlignment="1" applyProtection="1">
      <alignment horizontal="center" vertical="center" wrapText="1"/>
    </xf>
    <xf numFmtId="0" fontId="26" fillId="0" borderId="0" xfId="0" applyNumberFormat="1" applyFont="1" applyFill="1" applyBorder="1" applyProtection="1"/>
    <xf numFmtId="0" fontId="25" fillId="7" borderId="10" xfId="0" applyNumberFormat="1" applyFont="1" applyFill="1" applyBorder="1" applyAlignment="1" applyProtection="1">
      <alignment horizontal="center" vertical="center" wrapText="1"/>
    </xf>
    <xf numFmtId="0" fontId="25" fillId="7" borderId="10" xfId="0" applyNumberFormat="1" applyFont="1" applyFill="1" applyBorder="1" applyAlignment="1" applyProtection="1">
      <alignment horizontal="center" vertical="center" wrapText="1" readingOrder="2"/>
    </xf>
    <xf numFmtId="171" fontId="25" fillId="7" borderId="10" xfId="0" applyNumberFormat="1" applyFont="1" applyFill="1" applyBorder="1" applyAlignment="1" applyProtection="1">
      <alignment horizontal="center" vertical="center" wrapText="1"/>
    </xf>
    <xf numFmtId="3" fontId="25" fillId="7" borderId="10" xfId="0" applyNumberFormat="1" applyFont="1" applyFill="1" applyBorder="1" applyAlignment="1" applyProtection="1">
      <alignment horizontal="center" vertical="center" wrapText="1"/>
    </xf>
    <xf numFmtId="4" fontId="25" fillId="7" borderId="10" xfId="0" applyNumberFormat="1" applyFont="1" applyFill="1" applyBorder="1" applyAlignment="1" applyProtection="1">
      <alignment horizontal="center" vertical="center" wrapText="1"/>
    </xf>
    <xf numFmtId="4" fontId="25" fillId="10" borderId="10" xfId="0" applyNumberFormat="1" applyFont="1" applyFill="1" applyBorder="1" applyAlignment="1" applyProtection="1">
      <alignment horizontal="center" vertical="center" wrapText="1"/>
    </xf>
    <xf numFmtId="4" fontId="25" fillId="12" borderId="10" xfId="0" applyNumberFormat="1" applyFont="1" applyFill="1" applyBorder="1" applyAlignment="1" applyProtection="1">
      <alignment horizontal="center" vertical="center" wrapText="1"/>
    </xf>
    <xf numFmtId="0" fontId="25" fillId="10" borderId="10" xfId="0" applyNumberFormat="1" applyFont="1" applyFill="1" applyBorder="1" applyAlignment="1" applyProtection="1">
      <alignment horizontal="center" vertical="center" wrapText="1"/>
    </xf>
    <xf numFmtId="167" fontId="26" fillId="7" borderId="1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xf>
    <xf numFmtId="0" fontId="25"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alignment horizontal="center" vertical="center"/>
    </xf>
    <xf numFmtId="0" fontId="25" fillId="0" borderId="10"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center" vertical="center" wrapText="1" readingOrder="2"/>
    </xf>
    <xf numFmtId="4" fontId="25" fillId="0" borderId="10" xfId="0" applyNumberFormat="1" applyFont="1" applyFill="1" applyBorder="1" applyAlignment="1" applyProtection="1">
      <alignment horizontal="center" vertical="center" wrapText="1"/>
    </xf>
    <xf numFmtId="3" fontId="25" fillId="0" borderId="10" xfId="0" applyNumberFormat="1" applyFont="1" applyFill="1" applyBorder="1" applyAlignment="1" applyProtection="1">
      <alignment horizontal="center" vertical="center" wrapText="1"/>
    </xf>
    <xf numFmtId="3" fontId="25" fillId="0" borderId="0" xfId="0" applyNumberFormat="1" applyFont="1" applyFill="1" applyBorder="1" applyProtection="1"/>
    <xf numFmtId="4" fontId="25" fillId="0" borderId="0" xfId="0" applyNumberFormat="1" applyFont="1" applyFill="1" applyBorder="1" applyProtection="1"/>
    <xf numFmtId="4" fontId="29" fillId="7" borderId="13" xfId="17" applyNumberFormat="1" applyFont="1" applyFill="1" applyBorder="1" applyAlignment="1" applyProtection="1">
      <alignment horizontal="center" vertical="center" wrapText="1"/>
    </xf>
    <xf numFmtId="4" fontId="30" fillId="7" borderId="13" xfId="0" applyNumberFormat="1" applyFont="1" applyFill="1" applyBorder="1" applyAlignment="1" applyProtection="1">
      <alignment horizontal="center" vertical="center" wrapText="1"/>
    </xf>
    <xf numFmtId="4" fontId="31" fillId="7" borderId="13" xfId="0" applyNumberFormat="1" applyFont="1" applyFill="1" applyBorder="1" applyAlignment="1" applyProtection="1">
      <alignment horizontal="center" vertical="center" wrapText="1"/>
    </xf>
    <xf numFmtId="4" fontId="31" fillId="12" borderId="13" xfId="0" applyNumberFormat="1" applyFont="1" applyFill="1" applyBorder="1" applyAlignment="1" applyProtection="1">
      <alignment horizontal="center" vertical="center" wrapText="1"/>
    </xf>
    <xf numFmtId="0" fontId="31" fillId="0" borderId="0" xfId="0" applyNumberFormat="1" applyFont="1" applyFill="1" applyBorder="1" applyProtection="1"/>
    <xf numFmtId="0" fontId="31" fillId="0" borderId="0" xfId="0" applyNumberFormat="1" applyFont="1" applyFill="1" applyBorder="1" applyAlignment="1" applyProtection="1">
      <alignment horizontal="center"/>
    </xf>
    <xf numFmtId="4" fontId="29" fillId="7" borderId="15" xfId="17" applyNumberFormat="1" applyFont="1" applyFill="1" applyBorder="1" applyAlignment="1" applyProtection="1">
      <alignment horizontal="center" vertical="center" wrapText="1"/>
    </xf>
    <xf numFmtId="4" fontId="30" fillId="7" borderId="15" xfId="0" applyNumberFormat="1" applyFont="1" applyFill="1" applyBorder="1" applyAlignment="1" applyProtection="1">
      <alignment horizontal="center" vertical="center" wrapText="1"/>
    </xf>
    <xf numFmtId="4" fontId="31" fillId="7" borderId="15" xfId="0" applyNumberFormat="1" applyFont="1" applyFill="1" applyBorder="1" applyAlignment="1" applyProtection="1">
      <alignment horizontal="center" vertical="center" wrapText="1"/>
    </xf>
    <xf numFmtId="4" fontId="30" fillId="12" borderId="15" xfId="0" applyNumberFormat="1" applyFont="1" applyFill="1" applyBorder="1" applyAlignment="1" applyProtection="1">
      <alignment horizontal="center" vertical="center" wrapText="1"/>
    </xf>
    <xf numFmtId="4" fontId="31" fillId="12" borderId="15" xfId="0" applyNumberFormat="1" applyFont="1" applyFill="1" applyBorder="1" applyAlignment="1" applyProtection="1">
      <alignment horizontal="center" vertical="center" wrapText="1"/>
    </xf>
    <xf numFmtId="4" fontId="31" fillId="0" borderId="0" xfId="0" applyNumberFormat="1" applyFont="1" applyFill="1" applyBorder="1" applyProtection="1"/>
    <xf numFmtId="4" fontId="31" fillId="11" borderId="15"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xf>
    <xf numFmtId="4" fontId="28" fillId="7" borderId="17" xfId="17" applyNumberFormat="1" applyFont="1" applyFill="1" applyBorder="1" applyAlignment="1" applyProtection="1">
      <alignment horizontal="center" vertical="center" wrapText="1"/>
    </xf>
    <xf numFmtId="4" fontId="25" fillId="7" borderId="17" xfId="0" applyNumberFormat="1" applyFont="1" applyFill="1" applyBorder="1" applyAlignment="1" applyProtection="1">
      <alignment horizontal="center" vertical="center" wrapText="1"/>
    </xf>
    <xf numFmtId="172" fontId="33" fillId="0" borderId="5" xfId="0" applyNumberFormat="1" applyFont="1" applyBorder="1" applyAlignment="1">
      <alignment horizontal="center" vertical="center" wrapText="1"/>
    </xf>
    <xf numFmtId="0" fontId="34" fillId="0" borderId="0" xfId="0" applyFont="1" applyAlignment="1">
      <alignment vertical="top"/>
    </xf>
    <xf numFmtId="4" fontId="25" fillId="7" borderId="0" xfId="0" applyNumberFormat="1" applyFont="1" applyFill="1" applyBorder="1" applyAlignment="1" applyProtection="1">
      <alignment horizontal="center" vertical="center" wrapText="1"/>
    </xf>
    <xf numFmtId="0" fontId="35" fillId="0" borderId="0" xfId="0" applyFont="1" applyAlignment="1">
      <alignment vertical="top"/>
    </xf>
    <xf numFmtId="4" fontId="25" fillId="13" borderId="17" xfId="0" applyNumberFormat="1" applyFont="1" applyFill="1" applyBorder="1" applyAlignment="1" applyProtection="1">
      <alignment horizontal="center" vertical="center" wrapText="1"/>
    </xf>
    <xf numFmtId="0" fontId="25" fillId="13" borderId="0" xfId="0" applyNumberFormat="1" applyFont="1" applyFill="1" applyBorder="1" applyAlignment="1" applyProtection="1">
      <alignment horizontal="center"/>
    </xf>
    <xf numFmtId="0" fontId="25" fillId="13" borderId="0" xfId="0" applyNumberFormat="1" applyFont="1" applyFill="1" applyBorder="1" applyProtection="1"/>
    <xf numFmtId="4" fontId="25" fillId="14" borderId="17" xfId="0" applyNumberFormat="1" applyFont="1" applyFill="1" applyBorder="1" applyAlignment="1" applyProtection="1">
      <alignment horizontal="center" vertical="center" wrapText="1"/>
    </xf>
    <xf numFmtId="0" fontId="25" fillId="14" borderId="0" xfId="0" applyNumberFormat="1" applyFont="1" applyFill="1" applyBorder="1" applyAlignment="1" applyProtection="1">
      <alignment horizontal="center"/>
    </xf>
    <xf numFmtId="0" fontId="25" fillId="14" borderId="0" xfId="0" applyNumberFormat="1" applyFont="1" applyFill="1" applyBorder="1" applyProtection="1"/>
    <xf numFmtId="0" fontId="26" fillId="7" borderId="16" xfId="0" applyNumberFormat="1" applyFont="1" applyFill="1" applyBorder="1" applyAlignment="1" applyProtection="1">
      <alignment horizontal="center" vertical="center" wrapText="1"/>
    </xf>
    <xf numFmtId="0" fontId="26" fillId="0" borderId="16" xfId="0" applyNumberFormat="1" applyFont="1" applyFill="1" applyBorder="1" applyAlignment="1" applyProtection="1">
      <alignment horizontal="center" vertical="center" wrapText="1"/>
    </xf>
    <xf numFmtId="0" fontId="14" fillId="0" borderId="0" xfId="15" applyFont="1" applyAlignment="1">
      <alignment horizontal="center" vertical="center"/>
    </xf>
    <xf numFmtId="0" fontId="15" fillId="0" borderId="0" xfId="15" applyFont="1" applyAlignment="1">
      <alignment horizontal="right" vertical="top" wrapText="1" readingOrder="2"/>
    </xf>
    <xf numFmtId="0" fontId="27" fillId="0" borderId="0" xfId="15" applyFont="1" applyAlignment="1">
      <alignment horizontal="center"/>
    </xf>
    <xf numFmtId="0" fontId="25" fillId="0" borderId="0" xfId="0" applyNumberFormat="1" applyFont="1" applyFill="1" applyBorder="1" applyAlignment="1" applyProtection="1">
      <alignment horizontal="center"/>
    </xf>
    <xf numFmtId="0" fontId="30" fillId="8" borderId="10" xfId="0" applyNumberFormat="1" applyFont="1" applyFill="1" applyBorder="1" applyAlignment="1" applyProtection="1">
      <alignment horizontal="center" vertical="center" wrapText="1"/>
    </xf>
    <xf numFmtId="0" fontId="30" fillId="8" borderId="18" xfId="0" applyNumberFormat="1" applyFont="1" applyFill="1" applyBorder="1" applyAlignment="1" applyProtection="1">
      <alignment horizontal="center" vertical="center" wrapText="1"/>
    </xf>
    <xf numFmtId="0" fontId="30" fillId="8" borderId="12" xfId="0" applyNumberFormat="1" applyFont="1" applyFill="1" applyBorder="1" applyAlignment="1" applyProtection="1">
      <alignment horizontal="center" vertical="center" wrapText="1"/>
    </xf>
    <xf numFmtId="0" fontId="30" fillId="8" borderId="11" xfId="0" applyNumberFormat="1" applyFont="1" applyFill="1" applyBorder="1" applyAlignment="1" applyProtection="1">
      <alignment horizontal="center" vertical="center" wrapText="1"/>
    </xf>
    <xf numFmtId="0" fontId="30" fillId="8" borderId="14" xfId="0" applyNumberFormat="1" applyFont="1" applyFill="1" applyBorder="1" applyAlignment="1" applyProtection="1">
      <alignment horizontal="center" vertical="center" wrapText="1"/>
    </xf>
    <xf numFmtId="167" fontId="26" fillId="7" borderId="10" xfId="0" applyNumberFormat="1" applyFont="1" applyFill="1" applyBorder="1" applyAlignment="1" applyProtection="1">
      <alignment horizontal="center" vertical="center" wrapText="1"/>
    </xf>
    <xf numFmtId="0" fontId="36" fillId="0" borderId="0" xfId="15" applyFont="1"/>
    <xf numFmtId="0" fontId="37" fillId="0" borderId="0" xfId="15" applyFont="1"/>
    <xf numFmtId="0" fontId="38" fillId="0" borderId="0" xfId="15" applyFont="1"/>
    <xf numFmtId="0" fontId="39" fillId="0" borderId="0" xfId="15" applyFont="1" applyAlignment="1">
      <alignment horizontal="left" indent="1"/>
    </xf>
    <xf numFmtId="0" fontId="38" fillId="0" borderId="0" xfId="15" applyFont="1" applyAlignment="1">
      <alignment horizontal="right" readingOrder="2"/>
    </xf>
    <xf numFmtId="0" fontId="41" fillId="0" borderId="0" xfId="15" applyFont="1"/>
    <xf numFmtId="0" fontId="42" fillId="0" borderId="0" xfId="15" applyFont="1" applyAlignment="1">
      <alignment horizontal="right" readingOrder="2"/>
    </xf>
    <xf numFmtId="0" fontId="43" fillId="0" borderId="0" xfId="15" applyFont="1" applyAlignment="1">
      <alignment horizontal="right" readingOrder="2"/>
    </xf>
    <xf numFmtId="0" fontId="43" fillId="0" borderId="0" xfId="15" applyFont="1" applyAlignment="1">
      <alignment horizontal="right" wrapText="1" readingOrder="2"/>
    </xf>
    <xf numFmtId="0" fontId="44" fillId="0" borderId="0" xfId="15" applyFont="1" applyAlignment="1">
      <alignment horizontal="center" readingOrder="2"/>
    </xf>
    <xf numFmtId="0" fontId="45" fillId="0" borderId="0" xfId="15" applyFont="1" applyAlignment="1">
      <alignment horizontal="center" readingOrder="2"/>
    </xf>
    <xf numFmtId="0" fontId="37" fillId="0" borderId="0" xfId="15" applyFont="1" applyAlignment="1">
      <alignment horizontal="left"/>
    </xf>
    <xf numFmtId="0" fontId="37" fillId="0" borderId="0" xfId="15" applyFont="1" applyAlignment="1">
      <alignment horizontal="right" readingOrder="2"/>
    </xf>
    <xf numFmtId="0" fontId="46" fillId="0" borderId="0" xfId="15" applyFont="1"/>
    <xf numFmtId="49" fontId="37" fillId="0" borderId="0" xfId="15" applyNumberFormat="1" applyFont="1" applyAlignment="1">
      <alignment horizontal="left" readingOrder="2"/>
    </xf>
    <xf numFmtId="0" fontId="38" fillId="0" borderId="0" xfId="15" applyFont="1" applyAlignment="1">
      <alignment horizontal="justify" readingOrder="2"/>
    </xf>
    <xf numFmtId="0" fontId="40" fillId="0" borderId="0" xfId="15" applyFont="1" applyAlignment="1">
      <alignment horizontal="center" readingOrder="2"/>
    </xf>
    <xf numFmtId="0" fontId="40" fillId="0" borderId="0" xfId="15" applyFont="1" applyAlignment="1">
      <alignment horizontal="center"/>
    </xf>
    <xf numFmtId="0" fontId="15" fillId="0" borderId="0" xfId="15" applyFont="1" applyAlignment="1">
      <alignment horizontal="left" readingOrder="2"/>
    </xf>
    <xf numFmtId="14" fontId="1" fillId="0" borderId="0" xfId="15" applyNumberFormat="1" applyFont="1" applyAlignment="1">
      <alignment horizontal="right"/>
    </xf>
    <xf numFmtId="0" fontId="16" fillId="0" borderId="0" xfId="15" applyFont="1" applyAlignment="1">
      <alignment horizontal="right" readingOrder="2"/>
    </xf>
    <xf numFmtId="0" fontId="16" fillId="0" borderId="0" xfId="15" applyFont="1" applyAlignment="1">
      <alignment horizontal="right" vertical="top" readingOrder="2"/>
    </xf>
    <xf numFmtId="0" fontId="1" fillId="0" borderId="0" xfId="15" applyFont="1" applyAlignment="1">
      <alignment vertical="top"/>
    </xf>
    <xf numFmtId="0" fontId="47" fillId="0" borderId="0" xfId="8" applyFont="1" applyBorder="1" applyAlignment="1">
      <alignment vertical="top"/>
    </xf>
    <xf numFmtId="0" fontId="15" fillId="0" borderId="0" xfId="15" applyFont="1" applyAlignment="1">
      <alignment horizontal="right" readingOrder="2"/>
    </xf>
    <xf numFmtId="0" fontId="15" fillId="0" borderId="0" xfId="15" applyFont="1" applyAlignment="1">
      <alignment horizontal="right" vertical="top" readingOrder="2"/>
    </xf>
    <xf numFmtId="0" fontId="37" fillId="0" borderId="0" xfId="15" applyFont="1" applyAlignment="1">
      <alignment horizontal="left" vertical="top"/>
    </xf>
    <xf numFmtId="0" fontId="17" fillId="0" borderId="0" xfId="15" applyFont="1" applyAlignment="1">
      <alignment horizontal="right"/>
    </xf>
    <xf numFmtId="0" fontId="37" fillId="0" borderId="0" xfId="15" applyFont="1" applyAlignment="1"/>
    <xf numFmtId="0" fontId="20" fillId="0" borderId="0" xfId="15" applyFont="1" applyAlignment="1">
      <alignment horizontal="center" vertical="center"/>
    </xf>
    <xf numFmtId="0" fontId="19" fillId="0" borderId="0" xfId="15" applyFont="1" applyAlignment="1">
      <alignment horizontal="center" vertical="center"/>
    </xf>
    <xf numFmtId="0" fontId="20" fillId="0" borderId="0" xfId="15" applyFont="1" applyAlignment="1">
      <alignment horizontal="center" vertical="top"/>
    </xf>
    <xf numFmtId="0" fontId="36" fillId="0" borderId="0" xfId="15" applyFont="1" applyAlignment="1">
      <alignment horizontal="center"/>
    </xf>
    <xf numFmtId="0" fontId="49" fillId="0" borderId="0" xfId="0" applyNumberFormat="1" applyFont="1" applyFill="1" applyBorder="1" applyProtection="1"/>
    <xf numFmtId="4" fontId="50" fillId="7" borderId="17" xfId="0" applyNumberFormat="1" applyFont="1" applyFill="1" applyBorder="1" applyAlignment="1" applyProtection="1">
      <alignment horizontal="center" vertical="center" wrapText="1"/>
    </xf>
    <xf numFmtId="4" fontId="48" fillId="7" borderId="13" xfId="0" applyNumberFormat="1" applyFont="1" applyFill="1" applyBorder="1" applyAlignment="1" applyProtection="1">
      <alignment horizontal="center" vertical="center" wrapText="1"/>
    </xf>
    <xf numFmtId="4" fontId="48" fillId="12" borderId="13" xfId="0" applyNumberFormat="1" applyFont="1" applyFill="1" applyBorder="1" applyAlignment="1" applyProtection="1">
      <alignment horizontal="center" vertical="center" wrapText="1"/>
    </xf>
    <xf numFmtId="0" fontId="49" fillId="7" borderId="10" xfId="0" applyNumberFormat="1" applyFont="1" applyFill="1" applyBorder="1" applyAlignment="1" applyProtection="1">
      <alignment horizontal="center" vertical="center" wrapText="1"/>
    </xf>
    <xf numFmtId="4" fontId="49" fillId="7" borderId="17" xfId="0" applyNumberFormat="1" applyFont="1" applyFill="1" applyBorder="1" applyAlignment="1" applyProtection="1">
      <alignment horizontal="center" vertical="center" wrapText="1"/>
    </xf>
    <xf numFmtId="4" fontId="49" fillId="14" borderId="17" xfId="0" applyNumberFormat="1" applyFont="1" applyFill="1" applyBorder="1" applyAlignment="1" applyProtection="1">
      <alignment horizontal="center" vertical="center" wrapText="1"/>
    </xf>
    <xf numFmtId="4" fontId="50" fillId="7" borderId="10" xfId="0" applyNumberFormat="1" applyFont="1" applyFill="1" applyBorder="1" applyAlignment="1" applyProtection="1">
      <alignment horizontal="center" vertical="center" wrapText="1"/>
    </xf>
    <xf numFmtId="4" fontId="48" fillId="7" borderId="15" xfId="0" applyNumberFormat="1" applyFont="1" applyFill="1" applyBorder="1" applyAlignment="1" applyProtection="1">
      <alignment horizontal="center" vertical="center" wrapText="1"/>
    </xf>
    <xf numFmtId="0" fontId="32" fillId="0" borderId="19" xfId="0" applyNumberFormat="1" applyFont="1" applyFill="1" applyBorder="1" applyAlignment="1" applyProtection="1">
      <alignment horizontal="center" vertical="center" readingOrder="2"/>
    </xf>
    <xf numFmtId="0" fontId="32" fillId="0" borderId="19" xfId="0" applyNumberFormat="1" applyFont="1" applyFill="1" applyBorder="1" applyAlignment="1" applyProtection="1">
      <alignment horizontal="right" vertical="center" readingOrder="2"/>
    </xf>
    <xf numFmtId="0" fontId="25" fillId="7" borderId="17" xfId="0" applyNumberFormat="1" applyFont="1" applyFill="1" applyBorder="1" applyAlignment="1" applyProtection="1">
      <alignment horizontal="center" vertical="center" wrapText="1"/>
    </xf>
    <xf numFmtId="4" fontId="50" fillId="7" borderId="16" xfId="0" applyNumberFormat="1" applyFont="1" applyFill="1" applyBorder="1" applyAlignment="1" applyProtection="1">
      <alignment horizontal="center" vertical="center" wrapText="1"/>
    </xf>
    <xf numFmtId="4" fontId="25" fillId="7" borderId="16" xfId="0" applyNumberFormat="1" applyFont="1" applyFill="1" applyBorder="1" applyAlignment="1" applyProtection="1">
      <alignment horizontal="center" vertical="center" wrapText="1"/>
    </xf>
    <xf numFmtId="4" fontId="49" fillId="7" borderId="16" xfId="0" applyNumberFormat="1" applyFont="1" applyFill="1" applyBorder="1" applyAlignment="1" applyProtection="1">
      <alignment horizontal="center" vertical="center" wrapText="1"/>
    </xf>
    <xf numFmtId="0" fontId="28" fillId="0" borderId="18" xfId="17" applyNumberFormat="1" applyFont="1" applyFill="1" applyBorder="1" applyAlignment="1" applyProtection="1">
      <alignment horizontal="center" vertical="center" wrapText="1"/>
    </xf>
    <xf numFmtId="0" fontId="28" fillId="0" borderId="20" xfId="17" applyNumberFormat="1" applyFont="1" applyFill="1" applyBorder="1" applyAlignment="1" applyProtection="1">
      <alignment horizontal="center" vertical="center" wrapText="1"/>
    </xf>
    <xf numFmtId="4" fontId="28" fillId="0" borderId="20" xfId="17" applyNumberFormat="1" applyFont="1" applyFill="1" applyBorder="1" applyAlignment="1" applyProtection="1">
      <alignment horizontal="center" vertical="center" wrapText="1"/>
    </xf>
    <xf numFmtId="4" fontId="28" fillId="7" borderId="20" xfId="17" applyNumberFormat="1" applyFont="1" applyFill="1" applyBorder="1" applyAlignment="1" applyProtection="1">
      <alignment horizontal="center" vertical="center" wrapText="1"/>
    </xf>
    <xf numFmtId="4" fontId="28" fillId="7" borderId="18" xfId="17" applyNumberFormat="1" applyFont="1" applyFill="1" applyBorder="1" applyAlignment="1" applyProtection="1">
      <alignment horizontal="center" vertical="center" wrapText="1"/>
    </xf>
    <xf numFmtId="4" fontId="28" fillId="13" borderId="18" xfId="17" applyNumberFormat="1" applyFont="1" applyFill="1" applyBorder="1" applyAlignment="1" applyProtection="1">
      <alignment horizontal="center" vertical="center" wrapText="1"/>
    </xf>
    <xf numFmtId="4" fontId="28" fillId="14" borderId="18" xfId="17" applyNumberFormat="1" applyFont="1" applyFill="1" applyBorder="1" applyAlignment="1" applyProtection="1">
      <alignment horizontal="center" vertical="center" wrapText="1"/>
    </xf>
    <xf numFmtId="4" fontId="29" fillId="7" borderId="21" xfId="17" applyNumberFormat="1" applyFont="1" applyFill="1" applyBorder="1" applyAlignment="1" applyProtection="1">
      <alignment horizontal="center" vertical="center" wrapText="1"/>
    </xf>
    <xf numFmtId="4" fontId="29" fillId="7" borderId="22" xfId="17" applyNumberFormat="1" applyFont="1" applyFill="1" applyBorder="1" applyAlignment="1" applyProtection="1">
      <alignment horizontal="center" vertical="center" wrapText="1"/>
    </xf>
    <xf numFmtId="4" fontId="50" fillId="7" borderId="18" xfId="17" applyNumberFormat="1" applyFont="1" applyFill="1" applyBorder="1" applyAlignment="1" applyProtection="1">
      <alignment horizontal="center" vertical="center" wrapText="1"/>
    </xf>
    <xf numFmtId="4" fontId="28" fillId="7" borderId="19" xfId="17" applyNumberFormat="1" applyFont="1" applyFill="1" applyBorder="1" applyAlignment="1" applyProtection="1">
      <alignment horizontal="center" vertical="center" wrapText="1"/>
    </xf>
    <xf numFmtId="0" fontId="25" fillId="7" borderId="23" xfId="0" applyNumberFormat="1" applyFont="1" applyFill="1" applyBorder="1" applyAlignment="1" applyProtection="1">
      <alignment horizontal="center" vertical="center" wrapText="1"/>
    </xf>
    <xf numFmtId="0" fontId="25" fillId="7" borderId="24" xfId="0" applyNumberFormat="1" applyFont="1" applyFill="1" applyBorder="1" applyAlignment="1" applyProtection="1">
      <alignment horizontal="center" vertical="center" wrapText="1"/>
    </xf>
    <xf numFmtId="0" fontId="25" fillId="7" borderId="24" xfId="0" applyNumberFormat="1" applyFont="1" applyFill="1" applyBorder="1" applyAlignment="1" applyProtection="1">
      <alignment horizontal="center" vertical="center" wrapText="1" readingOrder="2"/>
    </xf>
    <xf numFmtId="171" fontId="25" fillId="7" borderId="24" xfId="0" applyNumberFormat="1" applyFont="1" applyFill="1" applyBorder="1" applyAlignment="1" applyProtection="1">
      <alignment horizontal="center" vertical="center" wrapText="1"/>
    </xf>
    <xf numFmtId="0" fontId="49" fillId="7" borderId="24" xfId="0" applyNumberFormat="1" applyFont="1" applyFill="1" applyBorder="1" applyAlignment="1" applyProtection="1">
      <alignment horizontal="center" vertical="center" wrapText="1"/>
    </xf>
    <xf numFmtId="3" fontId="25" fillId="7" borderId="24" xfId="0" applyNumberFormat="1" applyFont="1" applyFill="1" applyBorder="1" applyAlignment="1" applyProtection="1">
      <alignment horizontal="center" vertical="center" wrapText="1"/>
    </xf>
    <xf numFmtId="4" fontId="25" fillId="10" borderId="24" xfId="0" applyNumberFormat="1" applyFont="1" applyFill="1" applyBorder="1" applyAlignment="1" applyProtection="1">
      <alignment horizontal="center" vertical="center" wrapText="1"/>
    </xf>
    <xf numFmtId="4" fontId="25" fillId="7" borderId="23" xfId="0" applyNumberFormat="1" applyFont="1" applyFill="1" applyBorder="1" applyAlignment="1" applyProtection="1">
      <alignment horizontal="center" vertical="center" wrapText="1"/>
    </xf>
    <xf numFmtId="4" fontId="25" fillId="13" borderId="23" xfId="0" applyNumberFormat="1" applyFont="1" applyFill="1" applyBorder="1" applyAlignment="1" applyProtection="1">
      <alignment horizontal="center" vertical="center" wrapText="1"/>
    </xf>
    <xf numFmtId="4" fontId="25" fillId="14" borderId="23" xfId="0" applyNumberFormat="1" applyFont="1" applyFill="1" applyBorder="1" applyAlignment="1" applyProtection="1">
      <alignment horizontal="center" vertical="center" wrapText="1"/>
    </xf>
    <xf numFmtId="4" fontId="49" fillId="7" borderId="23" xfId="0" applyNumberFormat="1" applyFont="1" applyFill="1" applyBorder="1" applyAlignment="1" applyProtection="1">
      <alignment horizontal="center" vertical="center" wrapText="1"/>
    </xf>
    <xf numFmtId="4" fontId="49" fillId="7" borderId="25" xfId="0" applyNumberFormat="1" applyFont="1" applyFill="1" applyBorder="1" applyAlignment="1" applyProtection="1">
      <alignment horizontal="center" vertical="center" wrapText="1"/>
    </xf>
    <xf numFmtId="0" fontId="50" fillId="0" borderId="16" xfId="0" applyNumberFormat="1" applyFont="1" applyFill="1" applyBorder="1" applyAlignment="1" applyProtection="1">
      <alignment horizontal="center" vertical="center" wrapText="1"/>
    </xf>
    <xf numFmtId="0" fontId="50" fillId="0" borderId="17" xfId="0" applyNumberFormat="1" applyFont="1" applyFill="1" applyBorder="1" applyAlignment="1" applyProtection="1">
      <alignment horizontal="center" vertical="center" wrapText="1"/>
    </xf>
    <xf numFmtId="0" fontId="50" fillId="7" borderId="16" xfId="0" applyNumberFormat="1" applyFont="1" applyFill="1" applyBorder="1" applyAlignment="1" applyProtection="1">
      <alignment horizontal="center" vertical="center" wrapText="1"/>
    </xf>
    <xf numFmtId="0" fontId="50" fillId="7" borderId="17" xfId="0" applyNumberFormat="1" applyFont="1" applyFill="1" applyBorder="1" applyAlignment="1" applyProtection="1">
      <alignment horizontal="center" vertical="center" wrapText="1"/>
    </xf>
    <xf numFmtId="0" fontId="26" fillId="8" borderId="17" xfId="0" applyNumberFormat="1" applyFont="1" applyFill="1" applyBorder="1" applyAlignment="1" applyProtection="1">
      <alignment horizontal="center" vertical="center" wrapText="1"/>
    </xf>
    <xf numFmtId="0" fontId="51" fillId="8" borderId="0" xfId="8" applyFont="1" applyFill="1" applyBorder="1"/>
    <xf numFmtId="4" fontId="52" fillId="13" borderId="17" xfId="0" applyNumberFormat="1" applyFont="1" applyFill="1" applyBorder="1" applyAlignment="1" applyProtection="1">
      <alignment horizontal="center" vertical="center" wrapText="1"/>
    </xf>
    <xf numFmtId="4" fontId="53" fillId="13" borderId="17" xfId="0" applyNumberFormat="1" applyFont="1" applyFill="1" applyBorder="1" applyAlignment="1" applyProtection="1">
      <alignment horizontal="center" vertical="center" wrapText="1"/>
    </xf>
    <xf numFmtId="4" fontId="54" fillId="14" borderId="17" xfId="0" applyNumberFormat="1" applyFont="1" applyFill="1" applyBorder="1" applyAlignment="1" applyProtection="1">
      <alignment horizontal="center" vertical="center" wrapText="1"/>
    </xf>
    <xf numFmtId="4" fontId="55" fillId="14" borderId="17" xfId="0" applyNumberFormat="1" applyFont="1" applyFill="1" applyBorder="1" applyAlignment="1" applyProtection="1">
      <alignment horizontal="center" vertical="center" wrapText="1"/>
    </xf>
    <xf numFmtId="0" fontId="49" fillId="0" borderId="0" xfId="0" applyNumberFormat="1" applyFont="1" applyFill="1" applyBorder="1" applyAlignment="1" applyProtection="1">
      <alignment horizontal="center"/>
    </xf>
    <xf numFmtId="0" fontId="49" fillId="7" borderId="0" xfId="0" applyNumberFormat="1" applyFont="1" applyFill="1" applyBorder="1" applyAlignment="1" applyProtection="1">
      <alignment horizontal="center"/>
    </xf>
    <xf numFmtId="0" fontId="25" fillId="7" borderId="0" xfId="0" applyNumberFormat="1" applyFont="1" applyFill="1" applyBorder="1" applyAlignment="1" applyProtection="1">
      <alignment horizontal="center"/>
    </xf>
    <xf numFmtId="3" fontId="49" fillId="0" borderId="10" xfId="0" applyNumberFormat="1" applyFont="1" applyFill="1" applyBorder="1" applyAlignment="1" applyProtection="1">
      <alignment horizontal="center" vertical="center" wrapText="1"/>
    </xf>
    <xf numFmtId="0" fontId="25" fillId="0" borderId="17" xfId="0" applyNumberFormat="1" applyFont="1" applyFill="1" applyBorder="1" applyAlignment="1" applyProtection="1">
      <alignment horizontal="center" vertical="center" wrapText="1"/>
    </xf>
    <xf numFmtId="0" fontId="25" fillId="0" borderId="23" xfId="0" applyNumberFormat="1" applyFont="1" applyFill="1" applyBorder="1" applyAlignment="1" applyProtection="1">
      <alignment horizontal="center" vertical="center" wrapText="1"/>
    </xf>
    <xf numFmtId="0" fontId="25" fillId="0" borderId="24" xfId="0" applyNumberFormat="1" applyFont="1" applyFill="1" applyBorder="1" applyAlignment="1" applyProtection="1">
      <alignment horizontal="center" vertical="center" wrapText="1"/>
    </xf>
    <xf numFmtId="0" fontId="25" fillId="0" borderId="24" xfId="0" applyNumberFormat="1" applyFont="1" applyFill="1" applyBorder="1" applyAlignment="1" applyProtection="1">
      <alignment horizontal="center" vertical="center" wrapText="1" readingOrder="2"/>
    </xf>
    <xf numFmtId="4" fontId="25" fillId="0" borderId="24" xfId="0" applyNumberFormat="1" applyFont="1" applyFill="1" applyBorder="1" applyAlignment="1" applyProtection="1">
      <alignment horizontal="center" vertical="center" wrapText="1"/>
    </xf>
    <xf numFmtId="3" fontId="25" fillId="0" borderId="24" xfId="0" applyNumberFormat="1" applyFont="1" applyFill="1" applyBorder="1" applyAlignment="1" applyProtection="1">
      <alignment horizontal="center" vertical="center" wrapText="1"/>
    </xf>
    <xf numFmtId="3" fontId="49" fillId="0" borderId="24" xfId="0" applyNumberFormat="1" applyFont="1" applyFill="1" applyBorder="1" applyAlignment="1" applyProtection="1">
      <alignment horizontal="center" vertical="center" wrapText="1"/>
    </xf>
    <xf numFmtId="4" fontId="25" fillId="7" borderId="24" xfId="0" applyNumberFormat="1" applyFont="1" applyFill="1" applyBorder="1" applyAlignment="1" applyProtection="1">
      <alignment horizontal="center" vertical="center" wrapText="1"/>
    </xf>
    <xf numFmtId="0" fontId="30" fillId="8" borderId="17" xfId="0" applyNumberFormat="1" applyFont="1" applyFill="1" applyBorder="1" applyAlignment="1" applyProtection="1">
      <alignment horizontal="center" vertical="center" wrapText="1"/>
    </xf>
  </cellXfs>
  <cellStyles count="23">
    <cellStyle name="40% - Accent5 2" xfId="2" xr:uid="{00000000-0005-0000-0000-000000000000}"/>
    <cellStyle name="40% - הדגשה5" xfId="1" builtinId="47"/>
    <cellStyle name="Bad 2" xfId="3" xr:uid="{00000000-0005-0000-0000-000002000000}"/>
    <cellStyle name="Bad 3" xfId="19" xr:uid="{00000000-0005-0000-0000-000003000000}"/>
    <cellStyle name="Calculation 2" xfId="4" xr:uid="{00000000-0005-0000-0000-000004000000}"/>
    <cellStyle name="Calculation 3" xfId="21" xr:uid="{00000000-0005-0000-0000-000005000000}"/>
    <cellStyle name="Comma 2" xfId="5" xr:uid="{00000000-0005-0000-0000-000006000000}"/>
    <cellStyle name="Comma 2 2" xfId="6" xr:uid="{00000000-0005-0000-0000-000007000000}"/>
    <cellStyle name="Comma 3" xfId="7" xr:uid="{00000000-0005-0000-0000-000008000000}"/>
    <cellStyle name="Heading 1 2" xfId="9" xr:uid="{00000000-0005-0000-0000-000009000000}"/>
    <cellStyle name="Heading 3" xfId="17" xr:uid="{00000000-0005-0000-0000-00000A000000}"/>
    <cellStyle name="Heading 3 2" xfId="10" xr:uid="{00000000-0005-0000-0000-00000B000000}"/>
    <cellStyle name="Input 2" xfId="11" xr:uid="{00000000-0005-0000-0000-00000C000000}"/>
    <cellStyle name="Input 3" xfId="20" xr:uid="{00000000-0005-0000-0000-00000D000000}"/>
    <cellStyle name="Neutral 2" xfId="13" xr:uid="{00000000-0005-0000-0000-00000E000000}"/>
    <cellStyle name="Neutral 4" xfId="22" xr:uid="{00000000-0005-0000-0000-00000F000000}"/>
    <cellStyle name="Normal" xfId="0" builtinId="0"/>
    <cellStyle name="Normal 2" xfId="14" xr:uid="{00000000-0005-0000-0000-000011000000}"/>
    <cellStyle name="Normal 2 2" xfId="15" xr:uid="{00000000-0005-0000-0000-000012000000}"/>
    <cellStyle name="Normal 3" xfId="16" xr:uid="{00000000-0005-0000-0000-000013000000}"/>
    <cellStyle name="Normal 7" xfId="18" xr:uid="{00000000-0005-0000-0000-000014000000}"/>
    <cellStyle name="כותרת 1" xfId="8" builtinId="16"/>
    <cellStyle name="ניטראלי" xfId="12" builtinId="28"/>
  </cellStyles>
  <dxfs count="83">
    <dxf>
      <font>
        <b/>
        <i val="0"/>
        <strike val="0"/>
        <condense val="0"/>
        <extend val="0"/>
        <outline val="0"/>
        <shadow val="0"/>
        <u val="none"/>
        <vertAlign val="baseline"/>
        <sz val="18"/>
        <color theme="3"/>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8"/>
        <color theme="1"/>
        <name val="Arial"/>
        <family val="2"/>
        <scheme val="minor"/>
      </font>
      <fill>
        <patternFill patternType="solid">
          <fgColor indexed="64"/>
          <bgColor theme="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0"/>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0"/>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2"/>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2"/>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border outline="0">
        <top style="medium">
          <color theme="4"/>
        </top>
      </border>
    </dxf>
    <dxf>
      <border outline="0">
        <bottom style="medium">
          <color theme="4"/>
        </bottom>
      </border>
    </dxf>
    <dxf>
      <border outline="0">
        <left style="medium">
          <color theme="4"/>
        </left>
        <right style="medium">
          <color theme="4"/>
        </right>
        <top style="medium">
          <color theme="4"/>
        </top>
        <bottom style="medium">
          <color theme="4"/>
        </bottom>
      </border>
    </dxf>
    <dxf>
      <font>
        <b val="0"/>
        <i val="0"/>
        <strike val="0"/>
        <condense val="0"/>
        <extend val="0"/>
        <outline val="0"/>
        <shadow val="0"/>
        <u val="none"/>
        <vertAlign val="baseline"/>
        <sz val="18"/>
        <color theme="1"/>
        <name val="Arial"/>
        <family val="2"/>
        <scheme val="minor"/>
      </font>
      <fill>
        <patternFill patternType="solid">
          <fgColor indexed="64"/>
          <bgColor theme="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8"/>
        <color theme="0"/>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0"/>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0"/>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0"/>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0"/>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rgb="FFFFC00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rgb="FFFFFF0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4" formatCode="#,##0.00"/>
      <fill>
        <patternFill patternType="solid">
          <fgColor indexed="64"/>
          <bgColor rgb="FFF5F5F5"/>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0"/>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171" formatCode="\₪#,##0.00"/>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0"/>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171" formatCode="\₪#,##0.00"/>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2"/>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2"/>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theme="4"/>
        </left>
        <right style="medium">
          <color theme="4"/>
        </right>
        <top style="medium">
          <color theme="4"/>
        </top>
        <bottom style="medium">
          <color theme="4"/>
        </bottom>
        <vertical/>
        <horizontal/>
      </border>
      <protection locked="1" hidden="0"/>
    </dxf>
    <dxf>
      <font>
        <b val="0"/>
        <i val="0"/>
        <strike val="0"/>
        <condense val="0"/>
        <extend val="0"/>
        <outline val="0"/>
        <shadow val="0"/>
        <u val="none"/>
        <vertAlign val="baseline"/>
        <sz val="18"/>
        <color theme="1"/>
        <name val="Arial"/>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style="medium">
          <color theme="4"/>
        </right>
        <top style="medium">
          <color theme="4"/>
        </top>
        <bottom style="medium">
          <color theme="4"/>
        </bottom>
        <vertical/>
        <horizontal/>
      </border>
      <protection locked="1" hidden="0"/>
    </dxf>
    <dxf>
      <border outline="0">
        <top style="medium">
          <color theme="4"/>
        </top>
      </border>
    </dxf>
    <dxf>
      <border outline="0">
        <bottom style="medium">
          <color theme="4"/>
        </bottom>
      </border>
    </dxf>
    <dxf>
      <border outline="0">
        <left style="medium">
          <color theme="4"/>
        </left>
        <right style="medium">
          <color theme="4"/>
        </right>
        <top style="medium">
          <color theme="4"/>
        </top>
        <bottom style="medium">
          <color theme="4"/>
        </bottom>
      </border>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Transportation\&#1504;&#1492;&#1500;&#1497;%20&#1492;&#1510;&#1506;&#1493;&#1514;%20&#1502;&#1495;&#1497;&#1512;%202021\&#1510;&#1508;&#1493;&#1503;\&#1506;&#1502;&#1511;%20&#1492;&#1497;&#1512;&#1491;&#1503;%2021-19975\&#1491;&#1493;&#1495;%20&#1505;&#1497;&#1499;&#1493;&#1502;&#1497;%20&#1500;&#1512;&#1513;&#1493;&#1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geData"/>
      <sheetName val="AuctionDetails"/>
      <sheetName val="Header"/>
      <sheetName val="Pricing"/>
      <sheetName val="LT"/>
    </sheetNames>
    <sheetDataSet>
      <sheetData sheetId="0"/>
      <sheetData sheetId="1">
        <row r="1">
          <cell r="A1" t="str">
            <v>###AuctionName###</v>
          </cell>
          <cell r="B1" t="str">
            <v>A-408108-21-19975  הסעים- מ.א עמק הירדן</v>
          </cell>
          <cell r="C1" t="str">
            <v>A-408108-21-19975  הסעים- מ.א עמק הירדן</v>
          </cell>
          <cell r="D1" t="str">
            <v>שם</v>
          </cell>
          <cell r="E1" t="str">
            <v>תפקיד</v>
          </cell>
          <cell r="F1" t="str">
            <v>טל'</v>
          </cell>
          <cell r="G1" t="str">
            <v>e-mail</v>
          </cell>
          <cell r="I1" t="str">
            <v>טקסט</v>
          </cell>
          <cell r="J1" t="str">
            <v>ערך</v>
          </cell>
        </row>
        <row r="2">
          <cell r="A2" t="str">
            <v>###AuctionNumber###</v>
          </cell>
          <cell r="B2" t="str">
            <v>TS023825</v>
          </cell>
          <cell r="C2" t="str">
            <v>TS023825</v>
          </cell>
          <cell r="D2" t="str">
            <v>אבישי צח</v>
          </cell>
          <cell r="E2" t="str">
            <v>מנהל/ת פרויקט</v>
          </cell>
          <cell r="F2" t="str">
            <v>054-8300639</v>
          </cell>
          <cell r="G2" t="str">
            <v>zacha@mashcal.co.il</v>
          </cell>
          <cell r="I2" t="str">
            <v>###BAMICHRAZ###</v>
          </cell>
          <cell r="J2" t="str">
            <v>במכרז שבנדון לצורך קבלת הצעות מחיר</v>
          </cell>
        </row>
        <row r="3">
          <cell r="A3" t="str">
            <v>###BidderConsentStatement###</v>
          </cell>
          <cell r="B3" t="str">
            <v>N/A</v>
          </cell>
          <cell r="C3" t="str">
            <v>N/A</v>
          </cell>
          <cell r="D3" t="str">
            <v>אוהד לזר</v>
          </cell>
          <cell r="E3" t="str">
            <v>יועמ"ש/ית</v>
          </cell>
          <cell r="F3" t="str">
            <v>‎052-3563690</v>
          </cell>
          <cell r="G3" t="str">
            <v>ohadl@mashcal.co.il</v>
          </cell>
          <cell r="I3" t="str">
            <v>###HeaderFooter###</v>
          </cell>
          <cell r="J3" t="str">
            <v>BidCal Report 30/08/2021 11:07</v>
          </cell>
        </row>
        <row r="4">
          <cell r="A4" t="str">
            <v>###CalculationMethodType###</v>
          </cell>
          <cell r="B4" t="str">
            <v>מחיר פריט</v>
          </cell>
          <cell r="C4" t="str">
            <v>מחיר פריט</v>
          </cell>
          <cell r="D4" t="str">
            <v>אוראל דרעי</v>
          </cell>
          <cell r="E4" t="str">
            <v>רכז/ת שירות ותפעול</v>
          </cell>
          <cell r="F4" t="str">
            <v>055-6667893</v>
          </cell>
          <cell r="G4" t="str">
            <v>oreld@mashcal.co.il</v>
          </cell>
          <cell r="I4" t="str">
            <v>###PANINU###</v>
          </cell>
          <cell r="J4" t="str">
            <v>פנינו לחברות הזוכות ב-הס/03/2021 - כנרת</v>
          </cell>
        </row>
        <row r="5">
          <cell r="A5" t="str">
            <v>###Comments###</v>
          </cell>
          <cell r="B5" t="str">
            <v>1. תחילת ביצוע השירותים: 1/9/2021.
2.  להבהרות נוספות ניתן לפנות בפקס 03-6790332 עד  ליום א' בשעה 12:00.
3.  המחירים אינם כוללים מע"מ ועמלת משכ"ל.
4. תנאי התשלום: כמפורט בסעיף 7 לחוזה ההתקשרות.
5. מובהר בזאת כי בנוהל הצעת מחיר זה, בסיס החישוב לקביעת ההצעה הזולה יקבע לפי ההצעה הזולה ביותר לכל קו (מסלולים בודדים).
6.  מובהר כי, הגשת דו"ח הביצוע תתבצע בהתאם להוראות הרשות/ החברה המנהלת לרבות הצגת קוד מסלול לכל מסלול שיינתן לקבלן עם חתימת החוזה ויועבר מטעם החברה המנהלת. על הקבלן לשתף פעולה ולהציג עבור כל מסלול כאמור את הקוד הנדרש.
7.  ככל שהנכם מבקשים להעסיק קבלן/ני משנה, מובהר כי לא תאושר העסקת קבלני משנה בהיקף של למעלה מ 50% מכמות הרכבים למעט מוניות.
8.  בהתאם לתנאי המכרז, לרשות עומדת הזכות לאכוף על זוכה במכרז שלא יגיש הצעה בנוהל את הצעתו למכרז כאילו הוגשה על ידו במסגרת נוהל זה.
יובהר כי הרשות תהיה רשאית להתקשר עם הזוכה/ים לביצוע חלק משירותי ההיסעים בלבד או כולם, או שלא לבחור בכל הצעה שהיא.
9.  יובהר כי אין הרשות מתחייבת להפעיל את כל כלי הרכב על פיהם נקבע זוכה בנוהל.
10.  ככל שהרשות תקבע זוכה/ים בנוהל הצעת המחיר, שמות הזוכים יפורסמו באתר האינטרנט של משכ"ל. 
יובהר כי לא תישלח למציעים הודעה בדבר תוצאות הנוהל וכי באחריות כל מציע לבדוק את תוצאות נוהל הצעת המחיר באתר האינטרנט של משכ"ל.</v>
          </cell>
          <cell r="C5" t="str">
            <v>1. תחילת ביצוע השירותים: 1/9/2021.
2.  להבהרות נוספות ניתן לפנות בפקס 03-6790332 עד  ליום א' בשעה 12:00.
3.  המחירים אינם כוללים מע"מ ועמלת משכ"ל.
4. תנאי התשלום: כמפורט בסעיף 7 לחוזה ההתקשרות.
5. מובהר בזאת כי בנוהל הצעת מחיר זה, בסיס החישוב לקביעת ההצעה הזולה יקבע לפי ההצעה הזולה ביותר לכל קו (מסלולים בודדים).
6.  מובהר כי, הגשת דו"ח הביצוע תתבצע בהתאם להוראות הרשות/ החברה המנהלת לרבות הצגת קוד מסלול לכל מסלול שיינתן לקבלן עם חתימת החוזה ויועבר מטעם החברה המנהלת. על הקבלן לשתף פעולה ולהציג עבור כל מסלול כאמור את הקוד הנדרש.
7.  ככל שהנכם מבקשים להעסיק קבלן/ני משנה, מובהר כי לא תאושר העסקת קבלני משנה בהיקף של למעלה מ 50% מכמות הרכבים למעט מוניות.
8.  בהתאם לתנאי המכרז, לרשות עומדת הזכות לאכוף על זוכה במכרז שלא יגיש הצעה בנוהל את הצעתו למכרז כאילו הוגשה על ידו במסגרת נוהל זה.
יובהר כי הרשות תהיה רשאית להתקשר עם הזוכה/ים לביצוע חלק משירותי ההיסעים בלבד או כולם, או שלא לבחור בכל הצעה שהיא.
9.  יובהר כי אין הרשות מתחייבת להפעיל את כל כלי הרכב על פיהם נקבע זוכה בנוהל.
10.  ככל שהרשות תקבע זוכה/ים בנוהל הצעת המחיר, שמות הזוכים יפורסמו באתר האינטרנט של משכ"ל. 
יובהר כי לא תישלח למציעים הודעה בדבר תוצאות הנוהל וכי באחריות כל מציע לבדוק את תוצאות נוהל הצעת המחיר באתר האינטרנט של משכ"ל.</v>
          </cell>
          <cell r="D5" t="str">
            <v>אורטל זוהר</v>
          </cell>
          <cell r="E5" t="str">
            <v>רכז/ת שירות ותפעול</v>
          </cell>
          <cell r="F5" t="str">
            <v>054-4504048</v>
          </cell>
          <cell r="G5" t="str">
            <v>ortalz@mashcal.co.il</v>
          </cell>
          <cell r="I5" t="str">
            <v>###SUBJECT###</v>
          </cell>
          <cell r="J5" t="str">
            <v>הנדון: ריכוז הצעות מחיר למכרז למתן שירותי היסעים ושירותי הסעות של תלמידים - הס/3/2021</v>
          </cell>
        </row>
        <row r="6">
          <cell r="A6" t="str">
            <v>###Commission###</v>
          </cell>
          <cell r="B6">
            <v>4.4999999999999998E-2</v>
          </cell>
          <cell r="C6" t="str">
            <v>4.50%</v>
          </cell>
          <cell r="D6" t="str">
            <v>אנה גורדון</v>
          </cell>
          <cell r="E6" t="str">
            <v>רכז/ת שירות ותפעול</v>
          </cell>
          <cell r="F6" t="str">
            <v>054-6445722</v>
          </cell>
          <cell r="G6" t="str">
            <v>annag@mashcal.co.il</v>
          </cell>
          <cell r="I6" t="str">
            <v>###PricingHeader1###</v>
          </cell>
          <cell r="J6" t="str">
            <v>מס' נוהל:  A-408108-21-19975</v>
          </cell>
        </row>
        <row r="7">
          <cell r="A7" t="str">
            <v>###CommitteeName###</v>
          </cell>
          <cell r="B7" t="str">
            <v>וועדת נהלים - 2 עובדים</v>
          </cell>
          <cell r="C7" t="str">
            <v>וועדת נהלים - 2 עובדים</v>
          </cell>
          <cell r="D7" t="str">
            <v>ברקת וינשטיין</v>
          </cell>
          <cell r="E7" t="str">
            <v>רכז/ת שירות ותפעול</v>
          </cell>
          <cell r="F7" t="str">
            <v>052-9593461</v>
          </cell>
          <cell r="G7" t="str">
            <v>bareketw@mashcal.co.il</v>
          </cell>
          <cell r="I7" t="str">
            <v>###PricingHeader2###</v>
          </cell>
          <cell r="J7" t="str">
            <v>אזור:  הס/03/2021 - כנרת</v>
          </cell>
        </row>
        <row r="8">
          <cell r="A8" t="str">
            <v>###DateTimeNow###</v>
          </cell>
          <cell r="B8">
            <v>44438.463210729198</v>
          </cell>
          <cell r="C8" t="str">
            <v>30/08/2021 11:07</v>
          </cell>
          <cell r="D8" t="str">
            <v>דיקלה בוברוביצקי</v>
          </cell>
          <cell r="E8" t="str">
            <v>רכז/ת שירות ותפעול</v>
          </cell>
          <cell r="F8" t="str">
            <v>050-2641614</v>
          </cell>
          <cell r="G8" t="str">
            <v>diklabo@mashcal.co.il</v>
          </cell>
          <cell r="I8" t="str">
            <v>###PricingHeader3###</v>
          </cell>
          <cell r="J8" t="str">
            <v>רשות:  עמק הירדן - מועצה אזור</v>
          </cell>
        </row>
        <row r="9">
          <cell r="A9" t="str">
            <v>###ExpirationDate###</v>
          </cell>
          <cell r="B9">
            <v>44768</v>
          </cell>
          <cell r="C9" t="str">
            <v>26/07/2022</v>
          </cell>
          <cell r="D9" t="str">
            <v>דנה לוי</v>
          </cell>
          <cell r="E9" t="str">
            <v>רכז/ת שירות ותפעול</v>
          </cell>
          <cell r="F9" t="str">
            <v>050-6380661</v>
          </cell>
          <cell r="G9" t="str">
            <v>danal@mashcal.co.il</v>
          </cell>
          <cell r="I9"/>
          <cell r="J9"/>
        </row>
        <row r="10">
          <cell r="A10" t="str">
            <v>###FinishDateTime###</v>
          </cell>
          <cell r="B10">
            <v>44438.333404710596</v>
          </cell>
          <cell r="C10" t="str">
            <v>30/08/2021 08:00</v>
          </cell>
          <cell r="D10" t="str">
            <v>דניאלה סימן טוב</v>
          </cell>
          <cell r="E10" t="str">
            <v>רכז/ת שירות ותפעול</v>
          </cell>
          <cell r="F10" t="str">
            <v>052-8661554</v>
          </cell>
          <cell r="G10" t="str">
            <v>danielasi@mashcal.co.il</v>
          </cell>
        </row>
        <row r="11">
          <cell r="A11" t="str">
            <v>###FrameworkTotal###</v>
          </cell>
          <cell r="B11">
            <v>0</v>
          </cell>
          <cell r="C11" t="str">
            <v>₪ 0.00</v>
          </cell>
          <cell r="D11" t="str">
            <v>דריה טורין</v>
          </cell>
          <cell r="E11" t="str">
            <v>רכז/ת שירות ותפעול</v>
          </cell>
          <cell r="F11" t="str">
            <v>054-2122363</v>
          </cell>
          <cell r="G11" t="str">
            <v>dariat@mashcal.co.il</v>
          </cell>
        </row>
        <row r="12">
          <cell r="A12" t="str">
            <v>###GeneralAuctionName###</v>
          </cell>
          <cell r="B12" t="str">
            <v>מכרז למתן שירותי היסעים ושירותי הסעות של תלמידים</v>
          </cell>
          <cell r="C12" t="str">
            <v>מכרז למתן שירותי היסעים ושירותי הסעות של תלמידים</v>
          </cell>
          <cell r="D12" t="str">
            <v>הילה מאיה</v>
          </cell>
          <cell r="E12" t="str">
            <v>מנהל/ת פרויקט</v>
          </cell>
          <cell r="F12" t="str">
            <v>052-2224000</v>
          </cell>
          <cell r="G12" t="str">
            <v>hilam@mashcal.co.il</v>
          </cell>
        </row>
        <row r="13">
          <cell r="A13" t="str">
            <v>###GeneralAuctionNumber###</v>
          </cell>
          <cell r="B13" t="str">
            <v>הס/3/2021</v>
          </cell>
          <cell r="C13" t="str">
            <v>הס/3/2021</v>
          </cell>
          <cell r="D13" t="str">
            <v>ויקטוריה סלוצקי בינו</v>
          </cell>
          <cell r="E13" t="str">
            <v>רכז/ת שירות ותפעול</v>
          </cell>
          <cell r="F13" t="str">
            <v>054-79948430</v>
          </cell>
          <cell r="G13" t="str">
            <v>victorias@mashcal.co.il</v>
          </cell>
        </row>
        <row r="14">
          <cell r="A14" t="str">
            <v>###LocalAuthorityName###</v>
          </cell>
          <cell r="B14" t="str">
            <v>עמק הירדן - מועצה אזור</v>
          </cell>
          <cell r="C14" t="str">
            <v>עמק הירדן - מועצה אזור</v>
          </cell>
          <cell r="D14" t="str">
            <v>יאיר שחם</v>
          </cell>
          <cell r="E14" t="str">
            <v>מנהל/ת פרויקט</v>
          </cell>
          <cell r="F14" t="str">
            <v>052-3323887</v>
          </cell>
          <cell r="G14" t="str">
            <v>yairsh@mashcal.co.il</v>
          </cell>
        </row>
        <row r="15">
          <cell r="A15" t="str">
            <v>###LocalAuthoritySapNumber###</v>
          </cell>
          <cell r="B15" t="str">
            <v>5000238</v>
          </cell>
          <cell r="C15" t="str">
            <v>5000238</v>
          </cell>
          <cell r="D15" t="str">
            <v>יותם מיידלר</v>
          </cell>
          <cell r="E15" t="str">
            <v>מנהל/ת פרויקט</v>
          </cell>
          <cell r="F15" t="str">
            <v>052-3212496</v>
          </cell>
          <cell r="G15" t="str">
            <v>Yotamm@mashcal.co.il</v>
          </cell>
        </row>
        <row r="16">
          <cell r="A16" t="str">
            <v>###PlannedOpenDateTime###</v>
          </cell>
          <cell r="B16">
            <v>44434.5788664352</v>
          </cell>
          <cell r="C16" t="str">
            <v>26/08/2021 13:53:34</v>
          </cell>
          <cell r="D16" t="str">
            <v>ליז בוסאני</v>
          </cell>
          <cell r="E16" t="str">
            <v>רכז/ת שירות ותפעול</v>
          </cell>
          <cell r="F16" t="str">
            <v>050-8141516</v>
          </cell>
          <cell r="G16" t="str">
            <v>lizb@mashcal.co.il</v>
          </cell>
        </row>
        <row r="17">
          <cell r="A17" t="str">
            <v>###POrganizationContact###</v>
          </cell>
          <cell r="B17" t="str">
            <v>קרן לוי</v>
          </cell>
          <cell r="C17" t="str">
            <v>קרן לוי</v>
          </cell>
          <cell r="D17" t="str">
            <v>מורן שבתאי</v>
          </cell>
          <cell r="E17" t="str">
            <v>מנהל/ת פרויקט</v>
          </cell>
          <cell r="F17" t="str">
            <v>052-6746655</v>
          </cell>
          <cell r="G17" t="str">
            <v>moransh@mashcal.co.il</v>
          </cell>
        </row>
        <row r="18">
          <cell r="A18" t="str">
            <v>###POrganizationName###</v>
          </cell>
          <cell r="B18" t="str">
            <v>היסעים</v>
          </cell>
          <cell r="C18" t="str">
            <v>היסעים</v>
          </cell>
          <cell r="D18" t="str">
            <v>נירית גרדל</v>
          </cell>
          <cell r="E18" t="str">
            <v>ראש צוות/מחלקה</v>
          </cell>
          <cell r="F18" t="str">
            <v>052-4375282</v>
          </cell>
          <cell r="G18" t="str">
            <v>nirits@mashcal.co.il</v>
          </cell>
        </row>
        <row r="19">
          <cell r="A19" t="str">
            <v>###ProcedureType###</v>
          </cell>
          <cell r="B19" t="str">
            <v>רגיל</v>
          </cell>
          <cell r="C19" t="str">
            <v>רגיל</v>
          </cell>
          <cell r="D19" t="str">
            <v>עדן סימן טוב</v>
          </cell>
          <cell r="E19" t="str">
            <v>רכז/ת שירות ותפעול</v>
          </cell>
          <cell r="F19" t="str">
            <v>052-5377156</v>
          </cell>
          <cell r="G19" t="str">
            <v>edens@mashcal.co.il</v>
          </cell>
        </row>
        <row r="20">
          <cell r="A20" t="str">
            <v>###RegionName###</v>
          </cell>
          <cell r="B20" t="str">
            <v>כנרת</v>
          </cell>
          <cell r="C20" t="str">
            <v>כנרת</v>
          </cell>
          <cell r="D20" t="str">
            <v>קרן לוי</v>
          </cell>
          <cell r="E20" t="str">
            <v>רכז/ת שירות ותפעול</v>
          </cell>
          <cell r="F20" t="str">
            <v>052-5533375</v>
          </cell>
          <cell r="G20" t="str">
            <v>kerenle@mashcal.co.il</v>
          </cell>
        </row>
        <row r="21">
          <cell r="A21" t="str">
            <v>###RunningModeType###</v>
          </cell>
          <cell r="B21" t="str">
            <v>אמת</v>
          </cell>
          <cell r="C21" t="str">
            <v>אמת</v>
          </cell>
          <cell r="D21"/>
        </row>
        <row r="22">
          <cell r="A22" t="str">
            <v>###SAPNumber###</v>
          </cell>
          <cell r="B22" t="str">
            <v>M-408108-21</v>
          </cell>
          <cell r="C22" t="str">
            <v>M-408108-21</v>
          </cell>
          <cell r="D22"/>
        </row>
        <row r="23">
          <cell r="A23" t="str">
            <v>###SiteProcedure###</v>
          </cell>
          <cell r="B23" t="str">
            <v>A-408108-21-19975</v>
          </cell>
          <cell r="C23" t="str">
            <v>A-408108-21-19975</v>
          </cell>
          <cell r="D23"/>
        </row>
        <row r="24">
          <cell r="A24" t="str">
            <v>###TemplateName###</v>
          </cell>
          <cell r="B24" t="str">
            <v>הס/03/2021 - כנרת</v>
          </cell>
          <cell r="C24" t="str">
            <v>הס/03/2021 - כנרת</v>
          </cell>
          <cell r="D24"/>
        </row>
        <row r="25">
          <cell r="A25" t="str">
            <v>###VatValue###</v>
          </cell>
          <cell r="B25">
            <v>0.17</v>
          </cell>
          <cell r="C25" t="str">
            <v>17%</v>
          </cell>
          <cell r="D25"/>
        </row>
        <row r="26">
          <cell r="A26" t="str">
            <v>###WbsNumber###</v>
          </cell>
          <cell r="B26" t="str">
            <v>M-408108-21-00048-00</v>
          </cell>
          <cell r="C26" t="str">
            <v>M-408108-21-00048-00</v>
          </cell>
          <cell r="D26"/>
        </row>
        <row r="27">
          <cell r="A27"/>
          <cell r="B27"/>
          <cell r="C27"/>
          <cell r="D27"/>
        </row>
        <row r="28">
          <cell r="A28"/>
          <cell r="B28"/>
          <cell r="C28"/>
          <cell r="D28"/>
        </row>
      </sheetData>
      <sheetData sheetId="2">
        <row r="25">
          <cell r="G25" t="str">
            <v>יותם מיידלר</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D25E31-36D0-46AE-AFA9-A75F8FB21286}" name="טבלה1" displayName="טבלה1" ref="A2:AU50" totalsRowShown="0" dataDxfId="32" headerRowBorderDxfId="81" tableBorderDxfId="82" totalsRowBorderDxfId="80">
  <autoFilter ref="A2:AU50" xr:uid="{78D25E31-36D0-46AE-AFA9-A75F8FB21286}"/>
  <tableColumns count="47">
    <tableColumn id="1" xr3:uid="{346A1945-DFF1-403B-A281-B9AC1DBB8E13}" name="מס' אשכול" dataDxfId="79"/>
    <tableColumn id="2" xr3:uid="{D39AE47A-64B5-49B0-B177-9F8AAE0F7806}" name="קוד מסלול" dataDxfId="78"/>
    <tableColumn id="3" xr3:uid="{9BBCC814-D095-4561-BF1D-7A2AB964201C}" name="סוג הסעה" dataDxfId="77"/>
    <tableColumn id="4" xr3:uid="{60023AFD-E102-4B8A-BFC9-9446BA161C60}" name="תיאור מסלול" dataDxfId="76"/>
    <tableColumn id="5" xr3:uid="{8122CD3C-75C0-4913-B686-671FFC7068A4}" name="סוג רכב נדרש" dataDxfId="75"/>
    <tableColumn id="6" xr3:uid="{0491E591-E4B2-4E96-8D7C-911998B04EF0}" name="ימים ושעות איסוף ופיזור" dataDxfId="74"/>
    <tableColumn id="7" xr3:uid="{5840188F-69C4-466A-BA9B-C33F7ABBDED2}" name="אורך מסלול" dataDxfId="73"/>
    <tableColumn id="8" xr3:uid="{B423D7E0-A19F-43E7-925E-BAA88B62B215}" name="זמן נסיעה" dataDxfId="72"/>
    <tableColumn id="9" xr3:uid="{3A7DC00C-4F5A-45FF-BECF-E49C3CDEA58A}" name="מס' נוסעים סה&quot;כ" dataDxfId="71"/>
    <tableColumn id="10" xr3:uid="{DA416866-7CAD-4BA7-8450-E013F42ED84F}" name="זמן ליווי (דקות)" dataDxfId="70"/>
    <tableColumn id="11" xr3:uid="{F8D3B4BC-26F5-4ABF-80B1-3DBEAF235586}" name="עלות ליווי כולל מע&quot;מ ועמלה  " dataDxfId="69"/>
    <tableColumn id="12" xr3:uid="{680C2166-D23F-4B39-BCFB-6301B3EE1711}" name="כמות רכבים" dataDxfId="68"/>
    <tableColumn id="13" xr3:uid="{C9481FD0-0314-40DE-9726-39848D55AF7E}" name="מס' איסופים ביום" dataDxfId="67"/>
    <tableColumn id="14" xr3:uid="{FC8B49F2-21F9-4B35-8EEF-C86F50F37987}" name="מס' ימי איסוף" dataDxfId="66"/>
    <tableColumn id="15" xr3:uid="{F2C86868-D4C7-4DCE-B2B9-7D67544B17AF}" name="מס' פיזורים ביום" dataDxfId="65"/>
    <tableColumn id="16" xr3:uid="{E4E0674D-9160-453D-9DC6-F64033F58D8A}" name="מס' ימי פיזור" dataDxfId="64"/>
    <tableColumn id="17" xr3:uid="{F891CDC7-C369-4C44-8638-9A9E67B1A55B}" name="מס' ימים בשנה" dataDxfId="63"/>
    <tableColumn id="18" xr3:uid="{0A9845FA-DC3D-43A2-B1BE-B27AA9736480}" name="לשקלול?" dataDxfId="62"/>
    <tableColumn id="19" xr3:uid="{C364F8C7-A027-4783-AEBD-3DDC63375629}" name="קוד מסלול רשות" dataDxfId="61"/>
    <tableColumn id="20" xr3:uid="{AA240F04-063E-412A-99C8-13BBA61FACF8}" name="מחיר משולם ע&quot;י רשות" dataDxfId="60"/>
    <tableColumn id="21" xr3:uid="{92FD9BEF-8A63-4A52-B7CB-81EFC18FE98F}" name="מוסד" dataDxfId="59"/>
    <tableColumn id="22" xr3:uid="{A031E6B4-BFA2-4DD9-ADD7-C24A8DEAE10F}" name="כמות נסיעות שנתית" dataDxfId="58"/>
    <tableColumn id="23" xr3:uid="{CFBDA9B1-31C8-4DE1-AC0C-C725B9854CFD}" name="מחיר פתיחה" dataDxfId="57"/>
    <tableColumn id="24" xr3:uid="{BAE862D3-B5E5-4938-B65A-1F240BA2B757}" name="קבלן זוכה" dataDxfId="56"/>
    <tableColumn id="25" xr3:uid="{1CCF3594-ABAB-4E56-BA82-57A61451A046}" name="מחיר זכיה לא כולל מע&quot;מ " dataDxfId="55">
      <calculatedColumnFormula>AV3/1.17</calculatedColumnFormula>
    </tableColumn>
    <tableColumn id="26" xr3:uid="{439B8E84-3243-47E5-861B-11620B8FCF13}" name="מחיר מכרז 2019 " dataDxfId="54"/>
    <tableColumn id="27" xr3:uid="{7A83C686-1108-45FF-B460-6EF9597EF538}" name="הערות" dataDxfId="53"/>
    <tableColumn id="28" xr3:uid="{95C519D3-8DB4-4125-A38F-AE9B10C052F4}" name="הצעה" dataDxfId="52"/>
    <tableColumn id="29" xr3:uid="{6D181518-B6F0-4684-B501-3F8918A1A70C}" name="שבועי" dataDxfId="51"/>
    <tableColumn id="30" xr3:uid="{0B665BB2-2ACC-4EA4-BDF2-9C3C1CFDC28F}" name="שנתי" dataDxfId="50"/>
    <tableColumn id="31" xr3:uid="{B947AFE3-9D25-409B-B1DB-4E5FD2C8804D}" name="מחיר פתיחה2" dataDxfId="49"/>
    <tableColumn id="32" xr3:uid="{349DE72F-6365-4110-88F5-550E97F6CCAF}" name="הצעה3" dataDxfId="48"/>
    <tableColumn id="33" xr3:uid="{E3E43D7B-15A0-4BB8-BA94-75AE5FDD9D37}" name="שבועי4" dataDxfId="47"/>
    <tableColumn id="34" xr3:uid="{0509E82D-B3B9-45E9-91F8-7B016A0A17A8}" name="שנתי5" dataDxfId="46"/>
    <tableColumn id="35" xr3:uid="{0E081F00-7113-4420-BA66-A31C98ACF681}" name="מחיר פתיחה6" dataDxfId="45"/>
    <tableColumn id="36" xr3:uid="{3261AE57-0AC0-4F9E-BFFF-13453300B730}" name="תא ריק" dataDxfId="44"/>
    <tableColumn id="37" xr3:uid="{4487E2DC-91FB-4E43-87AD-19D8AB5EB515}" name="הצעה7" dataDxfId="43"/>
    <tableColumn id="38" xr3:uid="{09076213-D05B-48D9-83B9-C9D4A7BC319F}" name="שבועי8" dataDxfId="42"/>
    <tableColumn id="39" xr3:uid="{83DD0FAE-46FE-4833-A3C6-145CF6782DE7}" name="שנתי9" dataDxfId="41"/>
    <tableColumn id="40" xr3:uid="{13D358C1-32D9-4FE0-BE47-44D3965958A1}" name="מחיר פתיחה10" dataDxfId="40"/>
    <tableColumn id="41" xr3:uid="{5FB4A447-BE41-480B-99F9-80C044EA18DD}" name="תא ריק11" dataDxfId="39"/>
    <tableColumn id="42" xr3:uid="{BAF3A4B2-B382-481B-864F-2FCB29B9F46B}" name="תא ריק12" dataDxfId="38"/>
    <tableColumn id="43" xr3:uid="{71847B10-4FC5-4C82-9BAB-79353BCCC018}" name="הצעה13" dataDxfId="37"/>
    <tableColumn id="44" xr3:uid="{66D94EE0-E3B4-416F-98B8-EE1C86488898}" name="שבועי14" dataDxfId="36">
      <calculatedColumnFormula>((P3*O3)+(N3*M3))*L3*(K3+AQ3)</calculatedColumnFormula>
    </tableColumn>
    <tableColumn id="45" xr3:uid="{9CE4A0A2-4E81-4910-B3CE-A11227D379BD}" name="שנתי15" dataDxfId="35">
      <calculatedColumnFormula>(K3+AQ3)*L3*V3</calculatedColumnFormula>
    </tableColumn>
    <tableColumn id="46" xr3:uid="{6493AB01-E999-4997-A6FB-FB115A5691E9}" name="מחיר פתיחה16" dataDxfId="34"/>
    <tableColumn id="47" xr3:uid="{C77FF242-148E-454C-ACA2-0FA47DA2891E}" name="הפרש " dataDxfId="33"/>
  </tableColumns>
  <tableStyleInfo showFirstColumn="0" showLastColumn="0" showRowStripes="1" showColumnStripes="0"/>
  <extLst>
    <ext xmlns:x14="http://schemas.microsoft.com/office/spreadsheetml/2009/9/main" uri="{504A1905-F514-4f6f-8877-14C23A59335A}">
      <x14:table altTextSummary="אשכולות"/>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610B52-CEEC-47BD-B3E4-6504BA181B07}" name="טבלה2" displayName="טבלה2" ref="A2:AA8" totalsRowShown="0" headerRowDxfId="0" dataDxfId="1" headerRowBorderDxfId="30" tableBorderDxfId="31" totalsRowBorderDxfId="29" headerRowCellStyle="Heading 3">
  <autoFilter ref="A2:AA8" xr:uid="{C9610B52-CEEC-47BD-B3E4-6504BA181B07}"/>
  <tableColumns count="27">
    <tableColumn id="1" xr3:uid="{6CC37C35-B01A-4852-8416-5D7B64053C69}" name="מס' אשכול" dataDxfId="28"/>
    <tableColumn id="2" xr3:uid="{DD30F78A-70EF-4815-B677-03BC92EEB1E1}" name="קוד מסלול" dataDxfId="27"/>
    <tableColumn id="3" xr3:uid="{88B28113-F61A-4082-A5F1-ADB756D80132}" name="סוג הסעה" dataDxfId="26"/>
    <tableColumn id="4" xr3:uid="{25C3F1AA-84E0-4050-A9F7-639459434636}" name="תיאור מסלול" dataDxfId="25"/>
    <tableColumn id="5" xr3:uid="{5A0B3BB4-756E-4A52-A819-4D824214649C}" name="סוג רכב נדרש" dataDxfId="24"/>
    <tableColumn id="6" xr3:uid="{61249F95-166B-4065-84D1-7BB4B7881DAF}" name="ימים ושעות איסוף ופיזור" dataDxfId="23"/>
    <tableColumn id="7" xr3:uid="{A4FC7AF3-07D8-4916-BB26-5CFDB606FB6D}" name="אורך מסלול" dataDxfId="22"/>
    <tableColumn id="8" xr3:uid="{AA6C5D26-0C1B-4EBB-8515-8DAD242CDDD4}" name="זמן נסיעה" dataDxfId="21"/>
    <tableColumn id="9" xr3:uid="{37E213C7-3F5D-4FA9-8145-F5142019EB2B}" name="מס' נוסעים סה&quot;כ" dataDxfId="20"/>
    <tableColumn id="10" xr3:uid="{015B2FD5-B757-4046-828C-4EB0F4B7A5CD}" name="זמן ליווי (דקות)" dataDxfId="19"/>
    <tableColumn id="11" xr3:uid="{65D56994-3ACE-4CA2-AD5C-84469E38CCA4}" name="עלות ליווי כולל מע&quot;מ ועמלה  " dataDxfId="18"/>
    <tableColumn id="12" xr3:uid="{B11076A4-7ABB-4937-9459-BDF9358EDC0F}" name="כמות רכבים" dataDxfId="17"/>
    <tableColumn id="13" xr3:uid="{B593D9A5-1801-45DA-A577-3D237874F3BE}" name="מס' איסופים ביום" dataDxfId="16"/>
    <tableColumn id="14" xr3:uid="{E9E7CBDA-514B-46ED-9680-2BC575DD4F53}" name="מס' ימי איסוף" dataDxfId="15"/>
    <tableColumn id="15" xr3:uid="{7C16C346-1A3D-4A94-B647-F9116C6F6C51}" name="מס' פיזורים ביום" dataDxfId="14"/>
    <tableColumn id="16" xr3:uid="{6D99C0B3-B5D3-4CF4-BA59-70B415E4B9D5}" name="מס' ימי פיזור" dataDxfId="13"/>
    <tableColumn id="17" xr3:uid="{48018064-7560-4D36-BB82-E01451D31B12}" name="מס' ימים בשנה" dataDxfId="12"/>
    <tableColumn id="18" xr3:uid="{204ECFED-2314-4D33-B27E-AC4AC6D727D5}" name="לשקלול?" dataDxfId="11"/>
    <tableColumn id="19" xr3:uid="{C99A53F5-3ED2-4E5C-AE54-F2144C37FB3A}" name="קוד מסלול רשות" dataDxfId="10"/>
    <tableColumn id="20" xr3:uid="{FE099D72-FA4C-4914-99F0-3A6D86EAEF17}" name="מחיר משולם ע&quot;י רשות" dataDxfId="9"/>
    <tableColumn id="21" xr3:uid="{C33804B4-6A34-40AA-9522-6647C14FDDBF}" name="מוסד" dataDxfId="8"/>
    <tableColumn id="22" xr3:uid="{A5FE2044-600D-4569-9C41-14CA66880E67}" name="כמות נסיעות שנתית" dataDxfId="7"/>
    <tableColumn id="23" xr3:uid="{C3E11FB8-4FA7-4118-A018-9EC720BD0F0C}" name="מחיר פתיחה" dataDxfId="6"/>
    <tableColumn id="24" xr3:uid="{EA7B721D-36CE-42AA-82FB-8EC1E7E1B33D}" name="קבלן זוכה " dataDxfId="5"/>
    <tableColumn id="25" xr3:uid="{FEE02C70-3B86-4655-AC05-A87DEA667690}" name="מחיר זכיה לא כולל מע&quot;מ " dataDxfId="4"/>
    <tableColumn id="26" xr3:uid="{B1110C1F-CD35-4C64-AD1B-27249D313885}" name="מחיר מכרז 2019 " dataDxfId="3"/>
    <tableColumn id="27" xr3:uid="{BFC19AE3-B1C7-43DD-B927-9BE548FEFE50}" name="הפרש " dataDxfId="2"/>
  </tableColumns>
  <tableStyleInfo showFirstColumn="0" showLastColumn="0" showRowStripes="1" showColumnStripes="0"/>
  <extLst>
    <ext xmlns:x14="http://schemas.microsoft.com/office/spreadsheetml/2009/9/main" uri="{504A1905-F514-4f6f-8877-14C23A59335A}">
      <x14:table altTextSummary="מסלולים"/>
    </ext>
  </extLst>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L361"/>
  <sheetViews>
    <sheetView rightToLeft="1" topLeftCell="B1" workbookViewId="0">
      <selection activeCell="D31" sqref="D31"/>
    </sheetView>
  </sheetViews>
  <sheetFormatPr defaultRowHeight="14.25" x14ac:dyDescent="0.2"/>
  <cols>
    <col min="1" max="1" width="0" hidden="1" customWidth="1"/>
    <col min="3" max="3" width="25.125" customWidth="1"/>
    <col min="4" max="4" width="36.125" customWidth="1"/>
    <col min="5" max="5" width="18" customWidth="1"/>
    <col min="6" max="6" width="19.5" customWidth="1"/>
    <col min="7" max="8" width="0" hidden="1" customWidth="1"/>
    <col min="9" max="10" width="15.25" style="3" customWidth="1"/>
    <col min="11" max="11" width="21" style="3" customWidth="1"/>
    <col min="12" max="12" width="28.875" style="3" customWidth="1"/>
  </cols>
  <sheetData>
    <row r="1" spans="1:8" ht="19.5" x14ac:dyDescent="0.3">
      <c r="A1" s="1" t="s">
        <v>0</v>
      </c>
      <c r="B1" s="1" t="s">
        <v>1</v>
      </c>
      <c r="C1" s="2" t="s">
        <v>2</v>
      </c>
      <c r="D1" s="2" t="s">
        <v>3</v>
      </c>
      <c r="E1" s="2" t="s">
        <v>4</v>
      </c>
      <c r="F1" s="2" t="s">
        <v>5</v>
      </c>
    </row>
    <row r="2" spans="1:8" x14ac:dyDescent="0.2">
      <c r="A2" s="16">
        <v>50423</v>
      </c>
      <c r="B2" s="16" t="s">
        <v>6</v>
      </c>
      <c r="C2" s="16" t="s">
        <v>7</v>
      </c>
      <c r="D2" s="16" t="s">
        <v>8</v>
      </c>
      <c r="E2" s="38">
        <v>4.4999999999999998E-2</v>
      </c>
      <c r="F2" s="39">
        <v>0.17</v>
      </c>
      <c r="G2" s="40">
        <f t="shared" ref="G2:G23" si="0">E2 + 1</f>
        <v>1.0449999999999999</v>
      </c>
      <c r="H2" s="40">
        <f t="shared" ref="H2:H23" si="1">F2 + 1</f>
        <v>1.17</v>
      </c>
    </row>
    <row r="3" spans="1:8" x14ac:dyDescent="0.2">
      <c r="A3" s="16">
        <v>50424</v>
      </c>
      <c r="B3" s="16" t="s">
        <v>9</v>
      </c>
      <c r="C3" s="16" t="s">
        <v>10</v>
      </c>
      <c r="D3" s="16" t="s">
        <v>8</v>
      </c>
      <c r="E3" s="38">
        <v>4.4999999999999998E-2</v>
      </c>
      <c r="F3" s="39">
        <v>0.17</v>
      </c>
      <c r="G3" s="40">
        <f t="shared" si="0"/>
        <v>1.0449999999999999</v>
      </c>
      <c r="H3" s="40">
        <f t="shared" si="1"/>
        <v>1.17</v>
      </c>
    </row>
    <row r="4" spans="1:8" x14ac:dyDescent="0.2">
      <c r="A4" s="16">
        <v>50425</v>
      </c>
      <c r="B4" s="16" t="s">
        <v>11</v>
      </c>
      <c r="C4" s="16" t="s">
        <v>12</v>
      </c>
      <c r="D4" s="16" t="s">
        <v>8</v>
      </c>
      <c r="E4" s="38">
        <v>4.4999999999999998E-2</v>
      </c>
      <c r="F4" s="39">
        <v>0.17</v>
      </c>
      <c r="G4" s="40">
        <f t="shared" si="0"/>
        <v>1.0449999999999999</v>
      </c>
      <c r="H4" s="40">
        <f t="shared" si="1"/>
        <v>1.17</v>
      </c>
    </row>
    <row r="5" spans="1:8" x14ac:dyDescent="0.2">
      <c r="A5" s="16">
        <v>50426</v>
      </c>
      <c r="B5" s="16" t="s">
        <v>13</v>
      </c>
      <c r="C5" s="16" t="s">
        <v>14</v>
      </c>
      <c r="D5" s="16" t="s">
        <v>8</v>
      </c>
      <c r="E5" s="38">
        <v>4.4999999999999998E-2</v>
      </c>
      <c r="F5" s="39">
        <v>0.17</v>
      </c>
      <c r="G5" s="40">
        <f t="shared" si="0"/>
        <v>1.0449999999999999</v>
      </c>
      <c r="H5" s="40">
        <f t="shared" si="1"/>
        <v>1.17</v>
      </c>
    </row>
    <row r="6" spans="1:8" x14ac:dyDescent="0.2">
      <c r="A6" s="16">
        <v>50427</v>
      </c>
      <c r="B6" s="16" t="s">
        <v>15</v>
      </c>
      <c r="C6" s="16" t="s">
        <v>16</v>
      </c>
      <c r="D6" s="16" t="s">
        <v>8</v>
      </c>
      <c r="E6" s="38">
        <v>4.4999999999999998E-2</v>
      </c>
      <c r="F6" s="39">
        <v>0.17</v>
      </c>
      <c r="G6" s="40">
        <f t="shared" si="0"/>
        <v>1.0449999999999999</v>
      </c>
      <c r="H6" s="40">
        <f t="shared" si="1"/>
        <v>1.17</v>
      </c>
    </row>
    <row r="7" spans="1:8" x14ac:dyDescent="0.2">
      <c r="A7" s="16">
        <v>50428</v>
      </c>
      <c r="B7" s="16" t="s">
        <v>17</v>
      </c>
      <c r="C7" s="16" t="s">
        <v>18</v>
      </c>
      <c r="D7" s="16" t="s">
        <v>19</v>
      </c>
      <c r="E7" s="38">
        <v>4.4999999999999998E-2</v>
      </c>
      <c r="F7" s="39">
        <v>0.17</v>
      </c>
      <c r="G7" s="40">
        <f t="shared" si="0"/>
        <v>1.0449999999999999</v>
      </c>
      <c r="H7" s="40">
        <f t="shared" si="1"/>
        <v>1.17</v>
      </c>
    </row>
    <row r="8" spans="1:8" x14ac:dyDescent="0.2">
      <c r="A8" s="16">
        <v>50429</v>
      </c>
      <c r="B8" s="16" t="s">
        <v>20</v>
      </c>
      <c r="C8" s="16" t="s">
        <v>21</v>
      </c>
      <c r="D8" s="16" t="s">
        <v>19</v>
      </c>
      <c r="E8" s="38">
        <v>4.4999999999999998E-2</v>
      </c>
      <c r="F8" s="39">
        <v>0.17</v>
      </c>
      <c r="G8" s="40">
        <f t="shared" si="0"/>
        <v>1.0449999999999999</v>
      </c>
      <c r="H8" s="40">
        <f t="shared" si="1"/>
        <v>1.17</v>
      </c>
    </row>
    <row r="9" spans="1:8" x14ac:dyDescent="0.2">
      <c r="A9" s="16">
        <v>50430</v>
      </c>
      <c r="B9" s="16" t="s">
        <v>22</v>
      </c>
      <c r="C9" s="16" t="s">
        <v>23</v>
      </c>
      <c r="D9" s="16" t="s">
        <v>19</v>
      </c>
      <c r="E9" s="38">
        <v>4.4999999999999998E-2</v>
      </c>
      <c r="F9" s="39">
        <v>0.17</v>
      </c>
      <c r="G9" s="40">
        <f t="shared" si="0"/>
        <v>1.0449999999999999</v>
      </c>
      <c r="H9" s="40">
        <f t="shared" si="1"/>
        <v>1.17</v>
      </c>
    </row>
    <row r="10" spans="1:8" x14ac:dyDescent="0.2">
      <c r="A10" s="16">
        <v>50431</v>
      </c>
      <c r="B10" s="16" t="s">
        <v>24</v>
      </c>
      <c r="C10" s="16" t="s">
        <v>25</v>
      </c>
      <c r="D10" s="16" t="s">
        <v>19</v>
      </c>
      <c r="E10" s="38">
        <v>4.4999999999999998E-2</v>
      </c>
      <c r="F10" s="39">
        <v>0.17</v>
      </c>
      <c r="G10" s="40">
        <f t="shared" si="0"/>
        <v>1.0449999999999999</v>
      </c>
      <c r="H10" s="40">
        <f t="shared" si="1"/>
        <v>1.17</v>
      </c>
    </row>
    <row r="11" spans="1:8" x14ac:dyDescent="0.2">
      <c r="A11" s="16">
        <v>50432</v>
      </c>
      <c r="B11" s="16" t="s">
        <v>26</v>
      </c>
      <c r="C11" s="16" t="s">
        <v>27</v>
      </c>
      <c r="D11" s="16" t="s">
        <v>19</v>
      </c>
      <c r="E11" s="38">
        <v>4.4999999999999998E-2</v>
      </c>
      <c r="F11" s="39">
        <v>0.17</v>
      </c>
      <c r="G11" s="40">
        <f t="shared" si="0"/>
        <v>1.0449999999999999</v>
      </c>
      <c r="H11" s="40">
        <f t="shared" si="1"/>
        <v>1.17</v>
      </c>
    </row>
    <row r="12" spans="1:8" x14ac:dyDescent="0.2">
      <c r="A12" s="16">
        <v>50433</v>
      </c>
      <c r="B12" s="16" t="s">
        <v>28</v>
      </c>
      <c r="C12" s="16" t="s">
        <v>29</v>
      </c>
      <c r="D12" s="16" t="s">
        <v>19</v>
      </c>
      <c r="E12" s="38">
        <v>4.4999999999999998E-2</v>
      </c>
      <c r="F12" s="39">
        <v>0.17</v>
      </c>
      <c r="G12" s="40">
        <f t="shared" si="0"/>
        <v>1.0449999999999999</v>
      </c>
      <c r="H12" s="40">
        <f t="shared" si="1"/>
        <v>1.17</v>
      </c>
    </row>
    <row r="13" spans="1:8" x14ac:dyDescent="0.2">
      <c r="A13" s="16">
        <v>50434</v>
      </c>
      <c r="B13" s="16" t="s">
        <v>30</v>
      </c>
      <c r="C13" s="16" t="s">
        <v>31</v>
      </c>
      <c r="D13" s="16" t="s">
        <v>19</v>
      </c>
      <c r="E13" s="38">
        <v>4.4999999999999998E-2</v>
      </c>
      <c r="F13" s="39">
        <v>0.17</v>
      </c>
      <c r="G13" s="40">
        <f t="shared" si="0"/>
        <v>1.0449999999999999</v>
      </c>
      <c r="H13" s="40">
        <f t="shared" si="1"/>
        <v>1.17</v>
      </c>
    </row>
    <row r="14" spans="1:8" x14ac:dyDescent="0.2">
      <c r="A14" s="16">
        <v>50435</v>
      </c>
      <c r="B14" s="16" t="s">
        <v>32</v>
      </c>
      <c r="C14" s="16" t="s">
        <v>33</v>
      </c>
      <c r="D14" s="16" t="s">
        <v>19</v>
      </c>
      <c r="E14" s="38">
        <v>4.4999999999999998E-2</v>
      </c>
      <c r="F14" s="39">
        <v>0.17</v>
      </c>
      <c r="G14" s="40">
        <f t="shared" si="0"/>
        <v>1.0449999999999999</v>
      </c>
      <c r="H14" s="40">
        <f t="shared" si="1"/>
        <v>1.17</v>
      </c>
    </row>
    <row r="15" spans="1:8" x14ac:dyDescent="0.2">
      <c r="A15" s="16">
        <v>50436</v>
      </c>
      <c r="B15" s="16" t="s">
        <v>34</v>
      </c>
      <c r="C15" s="16" t="s">
        <v>35</v>
      </c>
      <c r="D15" s="16" t="s">
        <v>19</v>
      </c>
      <c r="E15" s="38">
        <v>4.4999999999999998E-2</v>
      </c>
      <c r="F15" s="39">
        <v>0.17</v>
      </c>
      <c r="G15" s="40">
        <f t="shared" si="0"/>
        <v>1.0449999999999999</v>
      </c>
      <c r="H15" s="40">
        <f t="shared" si="1"/>
        <v>1.17</v>
      </c>
    </row>
    <row r="16" spans="1:8" x14ac:dyDescent="0.2">
      <c r="A16" s="16">
        <v>50437</v>
      </c>
      <c r="B16" s="16" t="s">
        <v>36</v>
      </c>
      <c r="C16" s="16" t="s">
        <v>37</v>
      </c>
      <c r="D16" s="16" t="s">
        <v>19</v>
      </c>
      <c r="E16" s="38">
        <v>4.4999999999999998E-2</v>
      </c>
      <c r="F16" s="39">
        <v>0.17</v>
      </c>
      <c r="G16" s="40">
        <f t="shared" si="0"/>
        <v>1.0449999999999999</v>
      </c>
      <c r="H16" s="40">
        <f t="shared" si="1"/>
        <v>1.17</v>
      </c>
    </row>
    <row r="17" spans="1:8" x14ac:dyDescent="0.2">
      <c r="A17" s="16">
        <v>50438</v>
      </c>
      <c r="B17" s="16" t="s">
        <v>38</v>
      </c>
      <c r="C17" s="16" t="s">
        <v>39</v>
      </c>
      <c r="D17" s="16" t="s">
        <v>19</v>
      </c>
      <c r="E17" s="38">
        <v>4.4999999999999998E-2</v>
      </c>
      <c r="F17" s="39">
        <v>0.17</v>
      </c>
      <c r="G17" s="40">
        <f t="shared" si="0"/>
        <v>1.0449999999999999</v>
      </c>
      <c r="H17" s="40">
        <f t="shared" si="1"/>
        <v>1.17</v>
      </c>
    </row>
    <row r="18" spans="1:8" x14ac:dyDescent="0.2">
      <c r="A18" s="16">
        <v>50439</v>
      </c>
      <c r="B18" s="16" t="s">
        <v>40</v>
      </c>
      <c r="C18" s="16" t="s">
        <v>41</v>
      </c>
      <c r="D18" s="16" t="s">
        <v>19</v>
      </c>
      <c r="E18" s="38">
        <v>4.4999999999999998E-2</v>
      </c>
      <c r="F18" s="39">
        <v>0.17</v>
      </c>
      <c r="G18" s="40">
        <f t="shared" si="0"/>
        <v>1.0449999999999999</v>
      </c>
      <c r="H18" s="40">
        <f t="shared" si="1"/>
        <v>1.17</v>
      </c>
    </row>
    <row r="19" spans="1:8" x14ac:dyDescent="0.2">
      <c r="A19" s="16">
        <v>50440</v>
      </c>
      <c r="B19" s="16" t="s">
        <v>42</v>
      </c>
      <c r="C19" s="16" t="s">
        <v>43</v>
      </c>
      <c r="D19" s="16" t="s">
        <v>19</v>
      </c>
      <c r="E19" s="38">
        <v>4.4999999999999998E-2</v>
      </c>
      <c r="F19" s="39">
        <v>0.17</v>
      </c>
      <c r="G19" s="40">
        <f t="shared" si="0"/>
        <v>1.0449999999999999</v>
      </c>
      <c r="H19" s="40">
        <f t="shared" si="1"/>
        <v>1.17</v>
      </c>
    </row>
    <row r="20" spans="1:8" x14ac:dyDescent="0.2">
      <c r="A20" s="16">
        <v>50441</v>
      </c>
      <c r="B20" s="16" t="s">
        <v>44</v>
      </c>
      <c r="C20" s="16" t="s">
        <v>45</v>
      </c>
      <c r="D20" s="16" t="s">
        <v>19</v>
      </c>
      <c r="E20" s="38">
        <v>4.4999999999999998E-2</v>
      </c>
      <c r="F20" s="39">
        <v>0.17</v>
      </c>
      <c r="G20" s="40">
        <f t="shared" si="0"/>
        <v>1.0449999999999999</v>
      </c>
      <c r="H20" s="40">
        <f t="shared" si="1"/>
        <v>1.17</v>
      </c>
    </row>
    <row r="21" spans="1:8" x14ac:dyDescent="0.2">
      <c r="A21" s="16">
        <v>50442</v>
      </c>
      <c r="B21" s="16" t="s">
        <v>46</v>
      </c>
      <c r="C21" s="16" t="s">
        <v>47</v>
      </c>
      <c r="D21" s="16" t="s">
        <v>19</v>
      </c>
      <c r="E21" s="38">
        <v>4.4999999999999998E-2</v>
      </c>
      <c r="F21" s="39">
        <v>0.17</v>
      </c>
      <c r="G21" s="40">
        <f t="shared" si="0"/>
        <v>1.0449999999999999</v>
      </c>
      <c r="H21" s="40">
        <f t="shared" si="1"/>
        <v>1.17</v>
      </c>
    </row>
    <row r="22" spans="1:8" x14ac:dyDescent="0.2">
      <c r="A22" s="16">
        <v>50443</v>
      </c>
      <c r="B22" s="16" t="s">
        <v>48</v>
      </c>
      <c r="C22" s="16" t="s">
        <v>49</v>
      </c>
      <c r="D22" s="16" t="s">
        <v>19</v>
      </c>
      <c r="E22" s="38">
        <v>4.4999999999999998E-2</v>
      </c>
      <c r="F22" s="39">
        <v>0.17</v>
      </c>
      <c r="G22" s="40">
        <f t="shared" si="0"/>
        <v>1.0449999999999999</v>
      </c>
      <c r="H22" s="40">
        <f t="shared" si="1"/>
        <v>1.17</v>
      </c>
    </row>
    <row r="23" spans="1:8" x14ac:dyDescent="0.2">
      <c r="A23" s="16">
        <v>50444</v>
      </c>
      <c r="B23" s="16" t="s">
        <v>50</v>
      </c>
      <c r="C23" s="16" t="s">
        <v>51</v>
      </c>
      <c r="D23" s="16" t="s">
        <v>19</v>
      </c>
      <c r="E23" s="38">
        <v>4.4999999999999998E-2</v>
      </c>
      <c r="F23" s="39">
        <v>0.17</v>
      </c>
      <c r="G23" s="40">
        <f t="shared" si="0"/>
        <v>1.0449999999999999</v>
      </c>
      <c r="H23" s="40">
        <f t="shared" si="1"/>
        <v>1.17</v>
      </c>
    </row>
    <row r="24" spans="1:8" x14ac:dyDescent="0.2">
      <c r="A24" s="16"/>
      <c r="B24" s="16"/>
      <c r="C24" s="16"/>
      <c r="D24" s="16"/>
      <c r="E24" s="16"/>
      <c r="F24" s="16"/>
    </row>
    <row r="25" spans="1:8" x14ac:dyDescent="0.2">
      <c r="A25" s="16"/>
      <c r="B25" s="16"/>
      <c r="C25" s="16"/>
      <c r="D25" s="16"/>
      <c r="E25" s="16"/>
      <c r="F25" s="16"/>
    </row>
    <row r="26" spans="1:8" x14ac:dyDescent="0.2">
      <c r="A26" s="16"/>
      <c r="B26" s="16"/>
      <c r="C26" s="16"/>
      <c r="D26" s="16"/>
      <c r="E26" s="16"/>
      <c r="F26" s="16"/>
    </row>
    <row r="27" spans="1:8" x14ac:dyDescent="0.2">
      <c r="A27" s="16"/>
      <c r="B27" s="16"/>
      <c r="C27" s="16"/>
      <c r="D27" s="16"/>
      <c r="E27" s="16"/>
      <c r="F27" s="16"/>
    </row>
    <row r="28" spans="1:8" x14ac:dyDescent="0.2">
      <c r="A28" s="16"/>
      <c r="B28" s="16"/>
      <c r="C28" s="16"/>
      <c r="D28" s="16"/>
      <c r="E28" s="16"/>
      <c r="F28" s="16"/>
    </row>
    <row r="29" spans="1:8" x14ac:dyDescent="0.2">
      <c r="A29" s="16"/>
      <c r="B29" s="16"/>
      <c r="C29" s="16"/>
      <c r="D29" s="16"/>
      <c r="E29" s="16"/>
      <c r="F29" s="16"/>
    </row>
    <row r="30" spans="1:8" x14ac:dyDescent="0.2">
      <c r="A30" s="16"/>
      <c r="B30" s="16"/>
      <c r="C30" s="16"/>
      <c r="D30" s="16"/>
      <c r="E30" s="16"/>
      <c r="F30" s="16"/>
    </row>
    <row r="31" spans="1:8" x14ac:dyDescent="0.2">
      <c r="A31" s="16"/>
      <c r="B31" s="16"/>
      <c r="C31" s="16"/>
      <c r="D31" s="16"/>
      <c r="E31" s="16"/>
      <c r="F31" s="16"/>
    </row>
    <row r="32" spans="1:8" x14ac:dyDescent="0.2">
      <c r="A32" s="16"/>
      <c r="B32" s="16"/>
      <c r="C32" s="16"/>
      <c r="D32" s="16"/>
      <c r="E32" s="16"/>
      <c r="F32" s="16"/>
    </row>
    <row r="33" spans="1:6" x14ac:dyDescent="0.2">
      <c r="A33" s="16"/>
      <c r="B33" s="16"/>
      <c r="C33" s="16"/>
      <c r="D33" s="16"/>
      <c r="E33" s="16"/>
      <c r="F33" s="16"/>
    </row>
    <row r="34" spans="1:6" x14ac:dyDescent="0.2">
      <c r="A34" s="16"/>
      <c r="B34" s="16"/>
      <c r="C34" s="16"/>
      <c r="D34" s="16"/>
      <c r="E34" s="16"/>
      <c r="F34" s="16"/>
    </row>
    <row r="35" spans="1:6" x14ac:dyDescent="0.2">
      <c r="A35" s="16"/>
      <c r="B35" s="16"/>
      <c r="C35" s="16"/>
      <c r="D35" s="16"/>
      <c r="E35" s="16"/>
      <c r="F35" s="16"/>
    </row>
    <row r="36" spans="1:6" x14ac:dyDescent="0.2">
      <c r="A36" s="16"/>
      <c r="B36" s="16"/>
      <c r="C36" s="16"/>
      <c r="D36" s="16"/>
      <c r="E36" s="16"/>
      <c r="F36" s="16"/>
    </row>
    <row r="37" spans="1:6" x14ac:dyDescent="0.2">
      <c r="A37" s="16"/>
      <c r="B37" s="16"/>
      <c r="C37" s="16"/>
      <c r="D37" s="16"/>
      <c r="E37" s="16"/>
      <c r="F37" s="16"/>
    </row>
    <row r="38" spans="1:6" x14ac:dyDescent="0.2">
      <c r="A38" s="16"/>
      <c r="B38" s="16"/>
      <c r="C38" s="16"/>
      <c r="D38" s="16"/>
      <c r="E38" s="16"/>
      <c r="F38" s="16"/>
    </row>
    <row r="39" spans="1:6" x14ac:dyDescent="0.2">
      <c r="A39" s="16"/>
      <c r="B39" s="16"/>
      <c r="C39" s="16"/>
      <c r="D39" s="16"/>
      <c r="E39" s="16"/>
      <c r="F39" s="16"/>
    </row>
    <row r="40" spans="1:6" x14ac:dyDescent="0.2">
      <c r="A40" s="16"/>
      <c r="B40" s="16"/>
      <c r="C40" s="16"/>
      <c r="D40" s="16"/>
      <c r="E40" s="16"/>
      <c r="F40" s="16"/>
    </row>
    <row r="41" spans="1:6" x14ac:dyDescent="0.2">
      <c r="A41" s="16"/>
      <c r="B41" s="16"/>
      <c r="C41" s="16"/>
      <c r="D41" s="16"/>
      <c r="E41" s="16"/>
      <c r="F41" s="16"/>
    </row>
    <row r="42" spans="1:6" x14ac:dyDescent="0.2">
      <c r="A42" s="16"/>
      <c r="B42" s="16"/>
      <c r="C42" s="16"/>
      <c r="D42" s="16"/>
      <c r="E42" s="16"/>
      <c r="F42" s="16"/>
    </row>
    <row r="43" spans="1:6" x14ac:dyDescent="0.2">
      <c r="A43" s="16"/>
      <c r="B43" s="16"/>
      <c r="C43" s="16"/>
      <c r="D43" s="16"/>
      <c r="E43" s="16"/>
      <c r="F43" s="16"/>
    </row>
    <row r="44" spans="1:6" x14ac:dyDescent="0.2">
      <c r="A44" s="16"/>
      <c r="B44" s="16"/>
      <c r="C44" s="16"/>
      <c r="D44" s="16"/>
      <c r="E44" s="16"/>
      <c r="F44" s="16"/>
    </row>
    <row r="45" spans="1:6" x14ac:dyDescent="0.2">
      <c r="A45" s="16"/>
      <c r="B45" s="16"/>
      <c r="C45" s="16"/>
      <c r="D45" s="16"/>
      <c r="E45" s="16"/>
      <c r="F45" s="16"/>
    </row>
    <row r="46" spans="1:6" x14ac:dyDescent="0.2">
      <c r="A46" s="16"/>
      <c r="B46" s="16"/>
      <c r="C46" s="16"/>
      <c r="D46" s="16"/>
      <c r="E46" s="16"/>
      <c r="F46" s="16"/>
    </row>
    <row r="47" spans="1:6" x14ac:dyDescent="0.2">
      <c r="A47" s="16"/>
      <c r="B47" s="16"/>
      <c r="C47" s="16"/>
      <c r="D47" s="16"/>
      <c r="E47" s="16"/>
      <c r="F47" s="16"/>
    </row>
    <row r="48" spans="1:6" x14ac:dyDescent="0.2">
      <c r="A48" s="16"/>
      <c r="B48" s="16"/>
      <c r="C48" s="16"/>
      <c r="D48" s="16"/>
      <c r="E48" s="16"/>
      <c r="F48" s="16"/>
    </row>
    <row r="49" spans="1:6" x14ac:dyDescent="0.2">
      <c r="A49" s="16"/>
      <c r="B49" s="16"/>
      <c r="C49" s="16"/>
      <c r="D49" s="16"/>
      <c r="E49" s="16"/>
      <c r="F49" s="16"/>
    </row>
    <row r="50" spans="1:6" x14ac:dyDescent="0.2">
      <c r="A50" s="16"/>
      <c r="B50" s="16"/>
      <c r="C50" s="16"/>
      <c r="D50" s="16"/>
      <c r="E50" s="16"/>
      <c r="F50" s="16"/>
    </row>
    <row r="51" spans="1:6" x14ac:dyDescent="0.2">
      <c r="A51" s="16"/>
      <c r="B51" s="16"/>
      <c r="C51" s="16"/>
      <c r="D51" s="16"/>
      <c r="E51" s="16"/>
      <c r="F51" s="16"/>
    </row>
    <row r="52" spans="1:6" x14ac:dyDescent="0.2">
      <c r="A52" s="16"/>
      <c r="B52" s="16"/>
      <c r="C52" s="16"/>
      <c r="D52" s="16"/>
      <c r="E52" s="16"/>
      <c r="F52" s="16"/>
    </row>
    <row r="53" spans="1:6" x14ac:dyDescent="0.2">
      <c r="A53" s="16"/>
      <c r="B53" s="16"/>
      <c r="C53" s="16"/>
      <c r="D53" s="16"/>
      <c r="E53" s="16"/>
      <c r="F53" s="16"/>
    </row>
    <row r="54" spans="1:6" x14ac:dyDescent="0.2">
      <c r="A54" s="16"/>
      <c r="B54" s="16"/>
      <c r="C54" s="16"/>
      <c r="D54" s="16"/>
      <c r="E54" s="16"/>
      <c r="F54" s="16"/>
    </row>
    <row r="55" spans="1:6" x14ac:dyDescent="0.2">
      <c r="A55" s="16"/>
      <c r="B55" s="16"/>
      <c r="C55" s="16"/>
      <c r="D55" s="16"/>
      <c r="E55" s="16"/>
      <c r="F55" s="16"/>
    </row>
    <row r="56" spans="1:6" x14ac:dyDescent="0.2">
      <c r="A56" s="16"/>
      <c r="B56" s="16"/>
      <c r="C56" s="16"/>
      <c r="D56" s="16"/>
      <c r="E56" s="16"/>
      <c r="F56" s="16"/>
    </row>
    <row r="57" spans="1:6" x14ac:dyDescent="0.2">
      <c r="A57" s="16"/>
      <c r="B57" s="16"/>
      <c r="C57" s="16"/>
      <c r="D57" s="16"/>
      <c r="E57" s="16"/>
      <c r="F57" s="16"/>
    </row>
    <row r="58" spans="1:6" x14ac:dyDescent="0.2">
      <c r="A58" s="16"/>
      <c r="B58" s="16"/>
      <c r="C58" s="16"/>
      <c r="D58" s="16"/>
      <c r="E58" s="16"/>
      <c r="F58" s="16"/>
    </row>
    <row r="59" spans="1:6" x14ac:dyDescent="0.2">
      <c r="A59" s="16"/>
      <c r="B59" s="16"/>
      <c r="C59" s="16"/>
      <c r="D59" s="16"/>
      <c r="E59" s="16"/>
      <c r="F59" s="16"/>
    </row>
    <row r="60" spans="1:6" x14ac:dyDescent="0.2">
      <c r="A60" s="16"/>
      <c r="B60" s="16"/>
      <c r="C60" s="16"/>
      <c r="D60" s="16"/>
      <c r="E60" s="16"/>
      <c r="F60" s="16"/>
    </row>
    <row r="61" spans="1:6" x14ac:dyDescent="0.2">
      <c r="A61" s="16"/>
      <c r="B61" s="16"/>
      <c r="C61" s="16"/>
      <c r="D61" s="16"/>
      <c r="E61" s="16"/>
      <c r="F61" s="16"/>
    </row>
    <row r="62" spans="1:6" x14ac:dyDescent="0.2">
      <c r="A62" s="16"/>
      <c r="B62" s="16"/>
      <c r="C62" s="16"/>
      <c r="D62" s="16"/>
      <c r="E62" s="16"/>
      <c r="F62" s="16"/>
    </row>
    <row r="63" spans="1:6" x14ac:dyDescent="0.2">
      <c r="A63" s="16"/>
      <c r="B63" s="16"/>
      <c r="C63" s="16"/>
      <c r="D63" s="16"/>
      <c r="E63" s="16"/>
      <c r="F63" s="16"/>
    </row>
    <row r="64" spans="1:6" x14ac:dyDescent="0.2">
      <c r="A64" s="16"/>
      <c r="B64" s="16"/>
      <c r="C64" s="16"/>
      <c r="D64" s="16"/>
      <c r="E64" s="16"/>
      <c r="F64" s="16"/>
    </row>
    <row r="65" spans="1:6" x14ac:dyDescent="0.2">
      <c r="A65" s="16"/>
      <c r="B65" s="16"/>
      <c r="C65" s="16"/>
      <c r="D65" s="16"/>
      <c r="E65" s="16"/>
      <c r="F65" s="16"/>
    </row>
    <row r="66" spans="1:6" x14ac:dyDescent="0.2">
      <c r="A66" s="16"/>
      <c r="B66" s="16"/>
      <c r="C66" s="16"/>
      <c r="D66" s="16"/>
      <c r="E66" s="16"/>
      <c r="F66" s="16"/>
    </row>
    <row r="67" spans="1:6" x14ac:dyDescent="0.2">
      <c r="A67" s="16"/>
      <c r="B67" s="16"/>
      <c r="C67" s="16"/>
      <c r="D67" s="16"/>
      <c r="E67" s="16"/>
      <c r="F67" s="16"/>
    </row>
    <row r="68" spans="1:6" x14ac:dyDescent="0.2">
      <c r="A68" s="16"/>
      <c r="B68" s="16"/>
      <c r="C68" s="16"/>
      <c r="D68" s="16"/>
      <c r="E68" s="16"/>
      <c r="F68" s="16"/>
    </row>
    <row r="69" spans="1:6" x14ac:dyDescent="0.2">
      <c r="A69" s="16"/>
      <c r="B69" s="16"/>
      <c r="C69" s="16"/>
      <c r="D69" s="16"/>
      <c r="E69" s="16"/>
      <c r="F69" s="16"/>
    </row>
    <row r="70" spans="1:6" x14ac:dyDescent="0.2">
      <c r="A70" s="16"/>
      <c r="B70" s="16"/>
      <c r="C70" s="16"/>
      <c r="D70" s="16"/>
      <c r="E70" s="16"/>
      <c r="F70" s="16"/>
    </row>
    <row r="71" spans="1:6" x14ac:dyDescent="0.2">
      <c r="A71" s="16"/>
      <c r="B71" s="16"/>
      <c r="C71" s="16"/>
      <c r="D71" s="16"/>
      <c r="E71" s="16"/>
      <c r="F71" s="16"/>
    </row>
    <row r="72" spans="1:6" x14ac:dyDescent="0.2">
      <c r="A72" s="16"/>
      <c r="B72" s="16"/>
      <c r="C72" s="16"/>
      <c r="D72" s="16"/>
      <c r="E72" s="16"/>
      <c r="F72" s="16"/>
    </row>
    <row r="73" spans="1:6" x14ac:dyDescent="0.2">
      <c r="A73" s="16"/>
      <c r="B73" s="16"/>
      <c r="C73" s="16"/>
      <c r="D73" s="16"/>
      <c r="E73" s="16"/>
      <c r="F73" s="16"/>
    </row>
    <row r="74" spans="1:6" x14ac:dyDescent="0.2">
      <c r="A74" s="16"/>
      <c r="B74" s="16"/>
      <c r="C74" s="16"/>
      <c r="D74" s="16"/>
      <c r="E74" s="16"/>
      <c r="F74" s="16"/>
    </row>
    <row r="75" spans="1:6" x14ac:dyDescent="0.2">
      <c r="A75" s="16"/>
      <c r="B75" s="16"/>
      <c r="C75" s="16"/>
      <c r="D75" s="16"/>
      <c r="E75" s="16"/>
      <c r="F75" s="16"/>
    </row>
    <row r="76" spans="1:6" x14ac:dyDescent="0.2">
      <c r="A76" s="16"/>
      <c r="B76" s="16"/>
      <c r="C76" s="16"/>
      <c r="D76" s="16"/>
      <c r="E76" s="16"/>
      <c r="F76" s="16"/>
    </row>
    <row r="77" spans="1:6" x14ac:dyDescent="0.2">
      <c r="A77" s="16"/>
      <c r="B77" s="16"/>
      <c r="C77" s="16"/>
      <c r="D77" s="16"/>
      <c r="E77" s="16"/>
      <c r="F77" s="16"/>
    </row>
    <row r="78" spans="1:6" x14ac:dyDescent="0.2">
      <c r="A78" s="16"/>
      <c r="B78" s="16"/>
      <c r="C78" s="16"/>
      <c r="D78" s="16"/>
      <c r="E78" s="16"/>
      <c r="F78" s="16"/>
    </row>
    <row r="79" spans="1:6" x14ac:dyDescent="0.2">
      <c r="A79" s="16"/>
      <c r="B79" s="16"/>
      <c r="C79" s="16"/>
      <c r="D79" s="16"/>
      <c r="E79" s="16"/>
      <c r="F79" s="16"/>
    </row>
    <row r="80" spans="1:6" x14ac:dyDescent="0.2">
      <c r="A80" s="16"/>
      <c r="B80" s="16"/>
      <c r="C80" s="16"/>
      <c r="D80" s="16"/>
      <c r="E80" s="16"/>
      <c r="F80" s="16"/>
    </row>
    <row r="81" spans="1:6" x14ac:dyDescent="0.2">
      <c r="A81" s="16"/>
      <c r="B81" s="16"/>
      <c r="C81" s="16"/>
      <c r="D81" s="16"/>
      <c r="E81" s="16"/>
      <c r="F81" s="16"/>
    </row>
    <row r="82" spans="1:6" x14ac:dyDescent="0.2">
      <c r="A82" s="16"/>
      <c r="B82" s="16"/>
      <c r="C82" s="16"/>
      <c r="D82" s="16"/>
      <c r="E82" s="16"/>
      <c r="F82" s="16"/>
    </row>
    <row r="83" spans="1:6" x14ac:dyDescent="0.2">
      <c r="A83" s="16"/>
      <c r="B83" s="16"/>
      <c r="C83" s="16"/>
      <c r="D83" s="16"/>
      <c r="E83" s="16"/>
      <c r="F83" s="16"/>
    </row>
    <row r="84" spans="1:6" x14ac:dyDescent="0.2">
      <c r="A84" s="16"/>
      <c r="B84" s="16"/>
      <c r="C84" s="16"/>
      <c r="D84" s="16"/>
      <c r="E84" s="16"/>
      <c r="F84" s="16"/>
    </row>
    <row r="85" spans="1:6" x14ac:dyDescent="0.2">
      <c r="A85" s="16"/>
      <c r="B85" s="16"/>
      <c r="C85" s="16"/>
      <c r="D85" s="16"/>
      <c r="E85" s="16"/>
      <c r="F85" s="16"/>
    </row>
    <row r="86" spans="1:6" x14ac:dyDescent="0.2">
      <c r="A86" s="16"/>
      <c r="B86" s="16"/>
      <c r="C86" s="16"/>
      <c r="D86" s="16"/>
      <c r="E86" s="16"/>
      <c r="F86" s="16"/>
    </row>
    <row r="87" spans="1:6" x14ac:dyDescent="0.2">
      <c r="A87" s="16"/>
      <c r="B87" s="16"/>
      <c r="C87" s="16"/>
      <c r="D87" s="16"/>
      <c r="E87" s="16"/>
      <c r="F87" s="16"/>
    </row>
    <row r="88" spans="1:6" x14ac:dyDescent="0.2">
      <c r="A88" s="16"/>
      <c r="B88" s="16"/>
      <c r="C88" s="16"/>
      <c r="D88" s="16"/>
      <c r="E88" s="16"/>
      <c r="F88" s="16"/>
    </row>
    <row r="89" spans="1:6" x14ac:dyDescent="0.2">
      <c r="A89" s="16"/>
      <c r="B89" s="16"/>
      <c r="C89" s="16"/>
      <c r="D89" s="16"/>
      <c r="E89" s="16"/>
      <c r="F89" s="16"/>
    </row>
    <row r="90" spans="1:6" x14ac:dyDescent="0.2">
      <c r="A90" s="16"/>
      <c r="B90" s="16"/>
      <c r="C90" s="16"/>
      <c r="D90" s="16"/>
      <c r="E90" s="16"/>
      <c r="F90" s="16"/>
    </row>
    <row r="91" spans="1:6" x14ac:dyDescent="0.2">
      <c r="A91" s="16"/>
      <c r="B91" s="16"/>
      <c r="C91" s="16"/>
      <c r="D91" s="16"/>
      <c r="E91" s="16"/>
      <c r="F91" s="16"/>
    </row>
    <row r="92" spans="1:6" x14ac:dyDescent="0.2">
      <c r="A92" s="16"/>
      <c r="B92" s="16"/>
      <c r="C92" s="16"/>
      <c r="D92" s="16"/>
      <c r="E92" s="16"/>
      <c r="F92" s="16"/>
    </row>
    <row r="93" spans="1:6" x14ac:dyDescent="0.2">
      <c r="A93" s="16"/>
      <c r="B93" s="16"/>
      <c r="C93" s="16"/>
      <c r="D93" s="16"/>
      <c r="E93" s="16"/>
      <c r="F93" s="16"/>
    </row>
    <row r="94" spans="1:6" x14ac:dyDescent="0.2">
      <c r="A94" s="16"/>
      <c r="B94" s="16"/>
      <c r="C94" s="16"/>
      <c r="D94" s="16"/>
      <c r="E94" s="16"/>
      <c r="F94" s="16"/>
    </row>
    <row r="95" spans="1:6" x14ac:dyDescent="0.2">
      <c r="A95" s="16"/>
      <c r="B95" s="16"/>
      <c r="C95" s="16"/>
      <c r="D95" s="16"/>
      <c r="E95" s="16"/>
      <c r="F95" s="16"/>
    </row>
    <row r="96" spans="1:6" x14ac:dyDescent="0.2">
      <c r="A96" s="16"/>
      <c r="B96" s="16"/>
      <c r="C96" s="16"/>
      <c r="D96" s="16"/>
      <c r="E96" s="16"/>
      <c r="F96" s="16"/>
    </row>
    <row r="97" spans="1:6" x14ac:dyDescent="0.2">
      <c r="A97" s="16"/>
      <c r="B97" s="16"/>
      <c r="C97" s="16"/>
      <c r="D97" s="16"/>
      <c r="E97" s="16"/>
      <c r="F97" s="16"/>
    </row>
    <row r="98" spans="1:6" x14ac:dyDescent="0.2">
      <c r="A98" s="16"/>
      <c r="B98" s="16"/>
      <c r="C98" s="16"/>
      <c r="D98" s="16"/>
      <c r="E98" s="16"/>
      <c r="F98" s="16"/>
    </row>
    <row r="99" spans="1:6" x14ac:dyDescent="0.2">
      <c r="A99" s="16"/>
      <c r="B99" s="16"/>
      <c r="C99" s="16"/>
      <c r="D99" s="16"/>
      <c r="E99" s="16"/>
      <c r="F99" s="16"/>
    </row>
    <row r="100" spans="1:6" x14ac:dyDescent="0.2">
      <c r="A100" s="16"/>
      <c r="B100" s="16"/>
      <c r="C100" s="16"/>
      <c r="D100" s="16"/>
      <c r="E100" s="16"/>
      <c r="F100" s="16"/>
    </row>
    <row r="101" spans="1:6" x14ac:dyDescent="0.2">
      <c r="A101" s="16"/>
      <c r="B101" s="16"/>
      <c r="C101" s="16"/>
      <c r="D101" s="16"/>
      <c r="E101" s="16"/>
      <c r="F101" s="16"/>
    </row>
    <row r="102" spans="1:6" x14ac:dyDescent="0.2">
      <c r="A102" s="16"/>
      <c r="B102" s="16"/>
      <c r="C102" s="16"/>
      <c r="D102" s="16"/>
      <c r="E102" s="16"/>
      <c r="F102" s="16"/>
    </row>
    <row r="103" spans="1:6" x14ac:dyDescent="0.2">
      <c r="A103" s="16"/>
      <c r="B103" s="16"/>
      <c r="C103" s="16"/>
      <c r="D103" s="16"/>
      <c r="E103" s="16"/>
      <c r="F103" s="16"/>
    </row>
    <row r="104" spans="1:6" x14ac:dyDescent="0.2">
      <c r="A104" s="16"/>
      <c r="B104" s="16"/>
      <c r="C104" s="16"/>
      <c r="D104" s="16"/>
      <c r="E104" s="16"/>
      <c r="F104" s="16"/>
    </row>
    <row r="105" spans="1:6" x14ac:dyDescent="0.2">
      <c r="A105" s="16"/>
      <c r="B105" s="16"/>
      <c r="C105" s="16"/>
      <c r="D105" s="16"/>
      <c r="E105" s="16"/>
      <c r="F105" s="16"/>
    </row>
    <row r="106" spans="1:6" x14ac:dyDescent="0.2">
      <c r="A106" s="16"/>
      <c r="B106" s="16"/>
      <c r="C106" s="16"/>
      <c r="D106" s="16"/>
      <c r="E106" s="16"/>
      <c r="F106" s="16"/>
    </row>
    <row r="107" spans="1:6" x14ac:dyDescent="0.2">
      <c r="A107" s="16"/>
      <c r="B107" s="16"/>
      <c r="C107" s="16"/>
      <c r="D107" s="16"/>
      <c r="E107" s="16"/>
      <c r="F107" s="16"/>
    </row>
    <row r="108" spans="1:6" x14ac:dyDescent="0.2">
      <c r="A108" s="16"/>
      <c r="B108" s="16"/>
      <c r="C108" s="16"/>
      <c r="D108" s="16"/>
      <c r="E108" s="16"/>
      <c r="F108" s="16"/>
    </row>
    <row r="109" spans="1:6" x14ac:dyDescent="0.2">
      <c r="A109" s="16"/>
      <c r="B109" s="16"/>
      <c r="C109" s="16"/>
      <c r="D109" s="16"/>
      <c r="E109" s="16"/>
      <c r="F109" s="16"/>
    </row>
    <row r="110" spans="1:6" x14ac:dyDescent="0.2">
      <c r="A110" s="16"/>
      <c r="B110" s="16"/>
      <c r="C110" s="16"/>
      <c r="D110" s="16"/>
      <c r="E110" s="16"/>
      <c r="F110" s="16"/>
    </row>
    <row r="111" spans="1:6" x14ac:dyDescent="0.2">
      <c r="A111" s="16"/>
      <c r="B111" s="16"/>
      <c r="C111" s="16"/>
      <c r="D111" s="16"/>
      <c r="E111" s="16"/>
      <c r="F111" s="16"/>
    </row>
    <row r="112" spans="1:6" x14ac:dyDescent="0.2">
      <c r="A112" s="16"/>
      <c r="B112" s="16"/>
      <c r="C112" s="16"/>
      <c r="D112" s="16"/>
      <c r="E112" s="16"/>
      <c r="F112" s="16"/>
    </row>
    <row r="113" spans="1:6" x14ac:dyDescent="0.2">
      <c r="A113" s="16"/>
      <c r="B113" s="16"/>
      <c r="C113" s="16"/>
      <c r="D113" s="16"/>
      <c r="E113" s="16"/>
      <c r="F113" s="16"/>
    </row>
    <row r="114" spans="1:6" x14ac:dyDescent="0.2">
      <c r="A114" s="16"/>
      <c r="B114" s="16"/>
      <c r="C114" s="16"/>
      <c r="D114" s="16"/>
      <c r="E114" s="16"/>
      <c r="F114" s="16"/>
    </row>
    <row r="115" spans="1:6" x14ac:dyDescent="0.2">
      <c r="A115" s="16"/>
      <c r="B115" s="16"/>
      <c r="C115" s="16"/>
      <c r="D115" s="16"/>
      <c r="E115" s="16"/>
      <c r="F115" s="16"/>
    </row>
    <row r="116" spans="1:6" x14ac:dyDescent="0.2">
      <c r="A116" s="16"/>
      <c r="B116" s="16"/>
      <c r="C116" s="16"/>
      <c r="D116" s="16"/>
      <c r="E116" s="16"/>
      <c r="F116" s="16"/>
    </row>
    <row r="117" spans="1:6" x14ac:dyDescent="0.2">
      <c r="A117" s="16"/>
      <c r="B117" s="16"/>
      <c r="C117" s="16"/>
      <c r="D117" s="16"/>
      <c r="E117" s="16"/>
      <c r="F117" s="16"/>
    </row>
    <row r="118" spans="1:6" x14ac:dyDescent="0.2">
      <c r="A118" s="16"/>
      <c r="B118" s="16"/>
      <c r="C118" s="16"/>
      <c r="D118" s="16"/>
      <c r="E118" s="16"/>
      <c r="F118" s="16"/>
    </row>
    <row r="119" spans="1:6" x14ac:dyDescent="0.2">
      <c r="A119" s="16"/>
      <c r="B119" s="16"/>
      <c r="C119" s="16"/>
      <c r="D119" s="16"/>
      <c r="E119" s="16"/>
      <c r="F119" s="16"/>
    </row>
    <row r="120" spans="1:6" x14ac:dyDescent="0.2">
      <c r="A120" s="16"/>
      <c r="B120" s="16"/>
      <c r="C120" s="16"/>
      <c r="D120" s="16"/>
      <c r="E120" s="16"/>
      <c r="F120" s="16"/>
    </row>
    <row r="121" spans="1:6" x14ac:dyDescent="0.2">
      <c r="A121" s="16"/>
      <c r="B121" s="16"/>
      <c r="C121" s="16"/>
      <c r="D121" s="16"/>
      <c r="E121" s="16"/>
      <c r="F121" s="16"/>
    </row>
    <row r="122" spans="1:6" x14ac:dyDescent="0.2">
      <c r="A122" s="16"/>
      <c r="B122" s="16"/>
      <c r="C122" s="16"/>
      <c r="D122" s="16"/>
      <c r="E122" s="16"/>
      <c r="F122" s="16"/>
    </row>
    <row r="123" spans="1:6" x14ac:dyDescent="0.2">
      <c r="A123" s="16"/>
      <c r="B123" s="16"/>
      <c r="C123" s="16"/>
      <c r="D123" s="16"/>
      <c r="E123" s="16"/>
      <c r="F123" s="16"/>
    </row>
    <row r="124" spans="1:6" x14ac:dyDescent="0.2">
      <c r="A124" s="16"/>
      <c r="B124" s="16"/>
      <c r="C124" s="16"/>
      <c r="D124" s="16"/>
      <c r="E124" s="16"/>
      <c r="F124" s="16"/>
    </row>
    <row r="125" spans="1:6" x14ac:dyDescent="0.2">
      <c r="A125" s="16"/>
      <c r="B125" s="16"/>
      <c r="C125" s="16"/>
      <c r="D125" s="16"/>
      <c r="E125" s="16"/>
      <c r="F125" s="16"/>
    </row>
    <row r="126" spans="1:6" x14ac:dyDescent="0.2">
      <c r="A126" s="16"/>
      <c r="B126" s="16"/>
      <c r="C126" s="16"/>
      <c r="D126" s="16"/>
      <c r="E126" s="16"/>
      <c r="F126" s="16"/>
    </row>
    <row r="127" spans="1:6" x14ac:dyDescent="0.2">
      <c r="A127" s="16"/>
      <c r="B127" s="16"/>
      <c r="C127" s="16"/>
      <c r="D127" s="16"/>
      <c r="E127" s="16"/>
      <c r="F127" s="16"/>
    </row>
    <row r="128" spans="1:6" x14ac:dyDescent="0.2">
      <c r="A128" s="16"/>
      <c r="B128" s="16"/>
      <c r="C128" s="16"/>
      <c r="D128" s="16"/>
      <c r="E128" s="16"/>
      <c r="F128" s="16"/>
    </row>
    <row r="129" spans="1:6" x14ac:dyDescent="0.2">
      <c r="A129" s="16"/>
      <c r="B129" s="16"/>
      <c r="C129" s="16"/>
      <c r="D129" s="16"/>
      <c r="E129" s="16"/>
      <c r="F129" s="16"/>
    </row>
    <row r="130" spans="1:6" x14ac:dyDescent="0.2">
      <c r="A130" s="16"/>
      <c r="B130" s="16"/>
      <c r="C130" s="16"/>
      <c r="D130" s="16"/>
      <c r="E130" s="16"/>
      <c r="F130" s="16"/>
    </row>
    <row r="131" spans="1:6" x14ac:dyDescent="0.2">
      <c r="A131" s="16"/>
      <c r="B131" s="16"/>
      <c r="C131" s="16"/>
      <c r="D131" s="16"/>
      <c r="E131" s="16"/>
      <c r="F131" s="16"/>
    </row>
    <row r="132" spans="1:6" x14ac:dyDescent="0.2">
      <c r="A132" s="16"/>
      <c r="B132" s="16"/>
      <c r="C132" s="16"/>
      <c r="D132" s="16"/>
      <c r="E132" s="16"/>
      <c r="F132" s="16"/>
    </row>
    <row r="133" spans="1:6" x14ac:dyDescent="0.2">
      <c r="A133" s="16"/>
      <c r="B133" s="16"/>
      <c r="C133" s="16"/>
      <c r="D133" s="16"/>
      <c r="E133" s="16"/>
      <c r="F133" s="16"/>
    </row>
    <row r="134" spans="1:6" x14ac:dyDescent="0.2">
      <c r="A134" s="16"/>
      <c r="B134" s="16"/>
      <c r="C134" s="16"/>
      <c r="D134" s="16"/>
      <c r="E134" s="16"/>
      <c r="F134" s="16"/>
    </row>
    <row r="135" spans="1:6" x14ac:dyDescent="0.2">
      <c r="A135" s="16"/>
      <c r="B135" s="16"/>
      <c r="C135" s="16"/>
      <c r="D135" s="16"/>
      <c r="E135" s="16"/>
      <c r="F135" s="16"/>
    </row>
    <row r="136" spans="1:6" x14ac:dyDescent="0.2">
      <c r="A136" s="16"/>
      <c r="B136" s="16"/>
      <c r="C136" s="16"/>
      <c r="D136" s="16"/>
      <c r="E136" s="16"/>
      <c r="F136" s="16"/>
    </row>
    <row r="137" spans="1:6" x14ac:dyDescent="0.2">
      <c r="A137" s="16"/>
      <c r="B137" s="16"/>
      <c r="C137" s="16"/>
      <c r="D137" s="16"/>
      <c r="E137" s="16"/>
      <c r="F137" s="16"/>
    </row>
    <row r="138" spans="1:6" x14ac:dyDescent="0.2">
      <c r="A138" s="16"/>
      <c r="B138" s="16"/>
      <c r="C138" s="16"/>
      <c r="D138" s="16"/>
      <c r="E138" s="16"/>
      <c r="F138" s="16"/>
    </row>
    <row r="139" spans="1:6" x14ac:dyDescent="0.2">
      <c r="A139" s="16"/>
      <c r="B139" s="16"/>
      <c r="C139" s="16"/>
      <c r="D139" s="16"/>
      <c r="E139" s="16"/>
      <c r="F139" s="16"/>
    </row>
    <row r="140" spans="1:6" x14ac:dyDescent="0.2">
      <c r="A140" s="16"/>
      <c r="B140" s="16"/>
      <c r="C140" s="16"/>
      <c r="D140" s="16"/>
      <c r="E140" s="16"/>
      <c r="F140" s="16"/>
    </row>
    <row r="141" spans="1:6" x14ac:dyDescent="0.2">
      <c r="A141" s="16"/>
      <c r="B141" s="16"/>
      <c r="C141" s="16"/>
      <c r="D141" s="16"/>
      <c r="E141" s="16"/>
      <c r="F141" s="16"/>
    </row>
    <row r="142" spans="1:6" x14ac:dyDescent="0.2">
      <c r="A142" s="16"/>
      <c r="B142" s="16"/>
      <c r="C142" s="16"/>
      <c r="D142" s="16"/>
      <c r="E142" s="16"/>
      <c r="F142" s="16"/>
    </row>
    <row r="143" spans="1:6" x14ac:dyDescent="0.2">
      <c r="A143" s="16"/>
      <c r="B143" s="16"/>
      <c r="C143" s="16"/>
      <c r="D143" s="16"/>
      <c r="E143" s="16"/>
      <c r="F143" s="16"/>
    </row>
    <row r="144" spans="1:6" x14ac:dyDescent="0.2">
      <c r="A144" s="16"/>
      <c r="B144" s="16"/>
      <c r="C144" s="16"/>
      <c r="D144" s="16"/>
      <c r="E144" s="16"/>
      <c r="F144" s="16"/>
    </row>
    <row r="145" spans="1:6" x14ac:dyDescent="0.2">
      <c r="A145" s="16"/>
      <c r="B145" s="16"/>
      <c r="C145" s="16"/>
      <c r="D145" s="16"/>
      <c r="E145" s="16"/>
      <c r="F145" s="16"/>
    </row>
    <row r="146" spans="1:6" x14ac:dyDescent="0.2">
      <c r="A146" s="16"/>
      <c r="B146" s="16"/>
      <c r="C146" s="16"/>
      <c r="D146" s="16"/>
      <c r="E146" s="16"/>
      <c r="F146" s="16"/>
    </row>
    <row r="147" spans="1:6" x14ac:dyDescent="0.2">
      <c r="A147" s="16"/>
      <c r="B147" s="16"/>
      <c r="C147" s="16"/>
      <c r="D147" s="16"/>
      <c r="E147" s="16"/>
      <c r="F147" s="16"/>
    </row>
    <row r="148" spans="1:6" x14ac:dyDescent="0.2">
      <c r="A148" s="16"/>
      <c r="B148" s="16"/>
      <c r="C148" s="16"/>
      <c r="D148" s="16"/>
      <c r="E148" s="16"/>
      <c r="F148" s="16"/>
    </row>
    <row r="149" spans="1:6" x14ac:dyDescent="0.2">
      <c r="A149" s="16"/>
      <c r="B149" s="16"/>
      <c r="C149" s="16"/>
      <c r="D149" s="16"/>
      <c r="E149" s="16"/>
      <c r="F149" s="16"/>
    </row>
    <row r="150" spans="1:6" x14ac:dyDescent="0.2">
      <c r="A150" s="16"/>
      <c r="B150" s="16"/>
      <c r="C150" s="16"/>
      <c r="D150" s="16"/>
      <c r="E150" s="16"/>
      <c r="F150" s="16"/>
    </row>
    <row r="151" spans="1:6" x14ac:dyDescent="0.2">
      <c r="A151" s="16"/>
      <c r="B151" s="16"/>
      <c r="C151" s="16"/>
      <c r="D151" s="16"/>
      <c r="E151" s="16"/>
      <c r="F151" s="16"/>
    </row>
    <row r="152" spans="1:6" x14ac:dyDescent="0.2">
      <c r="A152" s="16"/>
      <c r="B152" s="16"/>
      <c r="C152" s="16"/>
      <c r="D152" s="16"/>
      <c r="E152" s="16"/>
      <c r="F152" s="16"/>
    </row>
    <row r="153" spans="1:6" x14ac:dyDescent="0.2">
      <c r="A153" s="16"/>
      <c r="B153" s="16"/>
      <c r="C153" s="16"/>
      <c r="D153" s="16"/>
      <c r="E153" s="16"/>
      <c r="F153" s="16"/>
    </row>
    <row r="154" spans="1:6" x14ac:dyDescent="0.2">
      <c r="A154" s="16"/>
      <c r="B154" s="16"/>
      <c r="C154" s="16"/>
      <c r="D154" s="16"/>
      <c r="E154" s="16"/>
      <c r="F154" s="16"/>
    </row>
    <row r="155" spans="1:6" x14ac:dyDescent="0.2">
      <c r="A155" s="16"/>
      <c r="B155" s="16"/>
      <c r="C155" s="16"/>
      <c r="D155" s="16"/>
      <c r="E155" s="16"/>
      <c r="F155" s="16"/>
    </row>
    <row r="156" spans="1:6" x14ac:dyDescent="0.2">
      <c r="A156" s="16"/>
      <c r="B156" s="16"/>
      <c r="C156" s="16"/>
      <c r="D156" s="16"/>
      <c r="E156" s="16"/>
      <c r="F156" s="16"/>
    </row>
    <row r="157" spans="1:6" x14ac:dyDescent="0.2">
      <c r="A157" s="16"/>
      <c r="B157" s="16"/>
      <c r="C157" s="16"/>
      <c r="D157" s="16"/>
      <c r="E157" s="16"/>
      <c r="F157" s="16"/>
    </row>
    <row r="158" spans="1:6" x14ac:dyDescent="0.2">
      <c r="A158" s="16"/>
      <c r="B158" s="16"/>
      <c r="C158" s="16"/>
      <c r="D158" s="16"/>
      <c r="E158" s="16"/>
      <c r="F158" s="16"/>
    </row>
    <row r="159" spans="1:6" x14ac:dyDescent="0.2">
      <c r="A159" s="16"/>
      <c r="B159" s="16"/>
      <c r="C159" s="16"/>
      <c r="D159" s="16"/>
      <c r="E159" s="16"/>
      <c r="F159" s="16"/>
    </row>
    <row r="160" spans="1:6" x14ac:dyDescent="0.2">
      <c r="A160" s="16"/>
      <c r="B160" s="16"/>
      <c r="C160" s="16"/>
      <c r="D160" s="16"/>
      <c r="E160" s="16"/>
      <c r="F160" s="16"/>
    </row>
    <row r="161" spans="1:6" x14ac:dyDescent="0.2">
      <c r="A161" s="16"/>
      <c r="B161" s="16"/>
      <c r="C161" s="16"/>
      <c r="D161" s="16"/>
      <c r="E161" s="16"/>
      <c r="F161" s="16"/>
    </row>
    <row r="162" spans="1:6" x14ac:dyDescent="0.2">
      <c r="A162" s="16"/>
      <c r="B162" s="16"/>
      <c r="C162" s="16"/>
      <c r="D162" s="16"/>
      <c r="E162" s="16"/>
      <c r="F162" s="16"/>
    </row>
    <row r="163" spans="1:6" x14ac:dyDescent="0.2">
      <c r="A163" s="16"/>
      <c r="B163" s="16"/>
      <c r="C163" s="16"/>
      <c r="D163" s="16"/>
      <c r="E163" s="16"/>
      <c r="F163" s="16"/>
    </row>
    <row r="164" spans="1:6" x14ac:dyDescent="0.2">
      <c r="A164" s="16"/>
      <c r="B164" s="16"/>
      <c r="C164" s="16"/>
      <c r="D164" s="16"/>
      <c r="E164" s="16"/>
      <c r="F164" s="16"/>
    </row>
    <row r="165" spans="1:6" x14ac:dyDescent="0.2">
      <c r="A165" s="16"/>
      <c r="B165" s="16"/>
      <c r="C165" s="16"/>
      <c r="D165" s="16"/>
      <c r="E165" s="16"/>
      <c r="F165" s="16"/>
    </row>
    <row r="166" spans="1:6" x14ac:dyDescent="0.2">
      <c r="A166" s="16"/>
      <c r="B166" s="16"/>
      <c r="C166" s="16"/>
      <c r="D166" s="16"/>
      <c r="E166" s="16"/>
      <c r="F166" s="16"/>
    </row>
    <row r="167" spans="1:6" x14ac:dyDescent="0.2">
      <c r="A167" s="16"/>
      <c r="B167" s="16"/>
      <c r="C167" s="16"/>
      <c r="D167" s="16"/>
      <c r="E167" s="16"/>
      <c r="F167" s="16"/>
    </row>
    <row r="168" spans="1:6" x14ac:dyDescent="0.2">
      <c r="A168" s="16"/>
      <c r="B168" s="16"/>
      <c r="C168" s="16"/>
      <c r="D168" s="16"/>
      <c r="E168" s="16"/>
      <c r="F168" s="16"/>
    </row>
    <row r="169" spans="1:6" x14ac:dyDescent="0.2">
      <c r="A169" s="16"/>
      <c r="B169" s="16"/>
      <c r="C169" s="16"/>
      <c r="D169" s="16"/>
      <c r="E169" s="16"/>
      <c r="F169" s="16"/>
    </row>
    <row r="170" spans="1:6" x14ac:dyDescent="0.2">
      <c r="A170" s="16"/>
      <c r="B170" s="16"/>
      <c r="C170" s="16"/>
      <c r="D170" s="16"/>
      <c r="E170" s="16"/>
      <c r="F170" s="16"/>
    </row>
    <row r="171" spans="1:6" x14ac:dyDescent="0.2">
      <c r="A171" s="16"/>
      <c r="B171" s="16"/>
      <c r="C171" s="16"/>
      <c r="D171" s="16"/>
      <c r="E171" s="16"/>
      <c r="F171" s="16"/>
    </row>
    <row r="172" spans="1:6" x14ac:dyDescent="0.2">
      <c r="A172" s="16"/>
      <c r="B172" s="16"/>
      <c r="C172" s="16"/>
      <c r="D172" s="16"/>
      <c r="E172" s="16"/>
      <c r="F172" s="16"/>
    </row>
    <row r="173" spans="1:6" x14ac:dyDescent="0.2">
      <c r="A173" s="16"/>
      <c r="B173" s="16"/>
      <c r="C173" s="16"/>
      <c r="D173" s="16"/>
      <c r="E173" s="16"/>
      <c r="F173" s="16"/>
    </row>
    <row r="174" spans="1:6" x14ac:dyDescent="0.2">
      <c r="A174" s="16"/>
      <c r="B174" s="16"/>
      <c r="C174" s="16"/>
      <c r="D174" s="16"/>
      <c r="E174" s="16"/>
      <c r="F174" s="16"/>
    </row>
    <row r="175" spans="1:6" x14ac:dyDescent="0.2">
      <c r="A175" s="16"/>
      <c r="B175" s="16"/>
      <c r="C175" s="16"/>
      <c r="D175" s="16"/>
      <c r="E175" s="16"/>
      <c r="F175" s="16"/>
    </row>
    <row r="176" spans="1:6" x14ac:dyDescent="0.2">
      <c r="A176" s="16"/>
      <c r="B176" s="16"/>
      <c r="C176" s="16"/>
      <c r="D176" s="16"/>
      <c r="E176" s="16"/>
      <c r="F176" s="16"/>
    </row>
    <row r="177" spans="1:6" x14ac:dyDescent="0.2">
      <c r="A177" s="16"/>
      <c r="B177" s="16"/>
      <c r="C177" s="16"/>
      <c r="D177" s="16"/>
      <c r="E177" s="16"/>
      <c r="F177" s="16"/>
    </row>
    <row r="178" spans="1:6" x14ac:dyDescent="0.2">
      <c r="A178" s="16"/>
      <c r="B178" s="16"/>
      <c r="C178" s="16"/>
      <c r="D178" s="16"/>
      <c r="E178" s="16"/>
      <c r="F178" s="16"/>
    </row>
    <row r="179" spans="1:6" x14ac:dyDescent="0.2">
      <c r="A179" s="16"/>
      <c r="B179" s="16"/>
      <c r="C179" s="16"/>
      <c r="D179" s="16"/>
      <c r="E179" s="16"/>
      <c r="F179" s="16"/>
    </row>
    <row r="180" spans="1:6" x14ac:dyDescent="0.2">
      <c r="A180" s="16"/>
      <c r="B180" s="16"/>
      <c r="C180" s="16"/>
      <c r="D180" s="16"/>
      <c r="E180" s="16"/>
      <c r="F180" s="16"/>
    </row>
    <row r="181" spans="1:6" x14ac:dyDescent="0.2">
      <c r="A181" s="16"/>
      <c r="B181" s="16"/>
      <c r="C181" s="16"/>
      <c r="D181" s="16"/>
      <c r="E181" s="16"/>
      <c r="F181" s="16"/>
    </row>
    <row r="182" spans="1:6" x14ac:dyDescent="0.2">
      <c r="A182" s="16"/>
      <c r="B182" s="16"/>
      <c r="C182" s="16"/>
      <c r="D182" s="16"/>
      <c r="E182" s="16"/>
      <c r="F182" s="16"/>
    </row>
    <row r="183" spans="1:6" x14ac:dyDescent="0.2">
      <c r="A183" s="16"/>
      <c r="B183" s="16"/>
      <c r="C183" s="16"/>
      <c r="D183" s="16"/>
      <c r="E183" s="16"/>
      <c r="F183" s="16"/>
    </row>
    <row r="184" spans="1:6" x14ac:dyDescent="0.2">
      <c r="A184" s="16"/>
      <c r="B184" s="16"/>
      <c r="C184" s="16"/>
      <c r="D184" s="16"/>
      <c r="E184" s="16"/>
      <c r="F184" s="16"/>
    </row>
    <row r="185" spans="1:6" x14ac:dyDescent="0.2">
      <c r="A185" s="16"/>
      <c r="B185" s="16"/>
      <c r="C185" s="16"/>
      <c r="D185" s="16"/>
      <c r="E185" s="16"/>
      <c r="F185" s="16"/>
    </row>
    <row r="186" spans="1:6" x14ac:dyDescent="0.2">
      <c r="A186" s="16"/>
      <c r="B186" s="16"/>
      <c r="C186" s="16"/>
      <c r="D186" s="16"/>
      <c r="E186" s="16"/>
      <c r="F186" s="16"/>
    </row>
    <row r="187" spans="1:6" x14ac:dyDescent="0.2">
      <c r="A187" s="16"/>
      <c r="B187" s="16"/>
      <c r="C187" s="16"/>
      <c r="D187" s="16"/>
      <c r="E187" s="16"/>
      <c r="F187" s="16"/>
    </row>
    <row r="188" spans="1:6" x14ac:dyDescent="0.2">
      <c r="A188" s="16"/>
      <c r="B188" s="16"/>
      <c r="C188" s="16"/>
      <c r="D188" s="16"/>
      <c r="E188" s="16"/>
      <c r="F188" s="16"/>
    </row>
    <row r="189" spans="1:6" x14ac:dyDescent="0.2">
      <c r="A189" s="16"/>
      <c r="B189" s="16"/>
      <c r="C189" s="16"/>
      <c r="D189" s="16"/>
      <c r="E189" s="16"/>
      <c r="F189" s="16"/>
    </row>
    <row r="190" spans="1:6" x14ac:dyDescent="0.2">
      <c r="A190" s="16"/>
      <c r="B190" s="16"/>
      <c r="C190" s="16"/>
      <c r="D190" s="16"/>
      <c r="E190" s="16"/>
      <c r="F190" s="16"/>
    </row>
    <row r="191" spans="1:6" x14ac:dyDescent="0.2">
      <c r="A191" s="16"/>
      <c r="B191" s="16"/>
      <c r="C191" s="16"/>
      <c r="D191" s="16"/>
      <c r="E191" s="16"/>
      <c r="F191" s="16"/>
    </row>
    <row r="192" spans="1:6" x14ac:dyDescent="0.2">
      <c r="A192" s="16"/>
      <c r="B192" s="16"/>
      <c r="C192" s="16"/>
      <c r="D192" s="16"/>
      <c r="E192" s="16"/>
      <c r="F192" s="16"/>
    </row>
    <row r="193" spans="1:6" x14ac:dyDescent="0.2">
      <c r="A193" s="16"/>
      <c r="B193" s="16"/>
      <c r="C193" s="16"/>
      <c r="D193" s="16"/>
      <c r="E193" s="16"/>
      <c r="F193" s="16"/>
    </row>
    <row r="194" spans="1:6" x14ac:dyDescent="0.2">
      <c r="A194" s="16"/>
      <c r="B194" s="16"/>
      <c r="C194" s="16"/>
      <c r="D194" s="16"/>
      <c r="E194" s="16"/>
      <c r="F194" s="16"/>
    </row>
    <row r="195" spans="1:6" x14ac:dyDescent="0.2">
      <c r="A195" s="16"/>
      <c r="B195" s="16"/>
      <c r="C195" s="16"/>
      <c r="D195" s="16"/>
      <c r="E195" s="16"/>
      <c r="F195" s="16"/>
    </row>
    <row r="196" spans="1:6" x14ac:dyDescent="0.2">
      <c r="A196" s="16"/>
      <c r="B196" s="16"/>
      <c r="C196" s="16"/>
      <c r="D196" s="16"/>
      <c r="E196" s="16"/>
      <c r="F196" s="16"/>
    </row>
    <row r="197" spans="1:6" x14ac:dyDescent="0.2">
      <c r="A197" s="16"/>
      <c r="B197" s="16"/>
      <c r="C197" s="16"/>
      <c r="D197" s="16"/>
      <c r="E197" s="16"/>
      <c r="F197" s="16"/>
    </row>
    <row r="198" spans="1:6" x14ac:dyDescent="0.2">
      <c r="A198" s="16"/>
      <c r="B198" s="16"/>
      <c r="C198" s="16"/>
      <c r="D198" s="16"/>
      <c r="E198" s="16"/>
      <c r="F198" s="16"/>
    </row>
    <row r="199" spans="1:6" x14ac:dyDescent="0.2">
      <c r="A199" s="16"/>
      <c r="B199" s="16"/>
      <c r="C199" s="16"/>
      <c r="D199" s="16"/>
      <c r="E199" s="16"/>
      <c r="F199" s="16"/>
    </row>
    <row r="200" spans="1:6" x14ac:dyDescent="0.2">
      <c r="A200" s="16"/>
      <c r="B200" s="16"/>
      <c r="C200" s="16"/>
      <c r="D200" s="16"/>
      <c r="E200" s="16"/>
      <c r="F200" s="16"/>
    </row>
    <row r="201" spans="1:6" x14ac:dyDescent="0.2">
      <c r="A201" s="16"/>
      <c r="B201" s="16"/>
      <c r="C201" s="16"/>
      <c r="D201" s="16"/>
      <c r="E201" s="16"/>
      <c r="F201" s="16"/>
    </row>
    <row r="202" spans="1:6" x14ac:dyDescent="0.2">
      <c r="A202" s="16"/>
      <c r="B202" s="16"/>
      <c r="C202" s="16"/>
      <c r="D202" s="16"/>
      <c r="E202" s="16"/>
      <c r="F202" s="16"/>
    </row>
    <row r="203" spans="1:6" x14ac:dyDescent="0.2">
      <c r="A203" s="16"/>
      <c r="B203" s="16"/>
      <c r="C203" s="16"/>
      <c r="D203" s="16"/>
      <c r="E203" s="16"/>
      <c r="F203" s="16"/>
    </row>
    <row r="204" spans="1:6" x14ac:dyDescent="0.2">
      <c r="A204" s="16"/>
      <c r="B204" s="16"/>
      <c r="C204" s="16"/>
      <c r="D204" s="16"/>
      <c r="E204" s="16"/>
      <c r="F204" s="16"/>
    </row>
    <row r="205" spans="1:6" x14ac:dyDescent="0.2">
      <c r="A205" s="16"/>
      <c r="B205" s="16"/>
      <c r="C205" s="16"/>
      <c r="D205" s="16"/>
      <c r="E205" s="16"/>
      <c r="F205" s="16"/>
    </row>
    <row r="206" spans="1:6" x14ac:dyDescent="0.2">
      <c r="A206" s="16"/>
      <c r="B206" s="16"/>
      <c r="C206" s="16"/>
      <c r="D206" s="16"/>
      <c r="E206" s="16"/>
      <c r="F206" s="16"/>
    </row>
    <row r="207" spans="1:6" x14ac:dyDescent="0.2">
      <c r="A207" s="16"/>
      <c r="B207" s="16"/>
      <c r="C207" s="16"/>
      <c r="D207" s="16"/>
      <c r="E207" s="16"/>
      <c r="F207" s="16"/>
    </row>
    <row r="208" spans="1:6" x14ac:dyDescent="0.2">
      <c r="A208" s="16"/>
      <c r="B208" s="16"/>
      <c r="C208" s="16"/>
      <c r="D208" s="16"/>
      <c r="E208" s="16"/>
      <c r="F208" s="16"/>
    </row>
    <row r="209" spans="1:6" x14ac:dyDescent="0.2">
      <c r="A209" s="16"/>
      <c r="B209" s="16"/>
      <c r="C209" s="16"/>
      <c r="D209" s="16"/>
      <c r="E209" s="16"/>
      <c r="F209" s="16"/>
    </row>
    <row r="210" spans="1:6" x14ac:dyDescent="0.2">
      <c r="A210" s="16"/>
      <c r="B210" s="16"/>
      <c r="C210" s="16"/>
      <c r="D210" s="16"/>
      <c r="E210" s="16"/>
      <c r="F210" s="16"/>
    </row>
    <row r="211" spans="1:6" x14ac:dyDescent="0.2">
      <c r="A211" s="16"/>
      <c r="B211" s="16"/>
      <c r="C211" s="16"/>
      <c r="D211" s="16"/>
      <c r="E211" s="16"/>
      <c r="F211" s="16"/>
    </row>
    <row r="212" spans="1:6" x14ac:dyDescent="0.2">
      <c r="A212" s="16"/>
      <c r="B212" s="16"/>
      <c r="C212" s="16"/>
      <c r="D212" s="16"/>
      <c r="E212" s="16"/>
      <c r="F212" s="16"/>
    </row>
    <row r="213" spans="1:6" x14ac:dyDescent="0.2">
      <c r="A213" s="16"/>
      <c r="B213" s="16"/>
      <c r="C213" s="16"/>
      <c r="D213" s="16"/>
      <c r="E213" s="16"/>
      <c r="F213" s="16"/>
    </row>
    <row r="214" spans="1:6" x14ac:dyDescent="0.2">
      <c r="A214" s="16"/>
      <c r="B214" s="16"/>
      <c r="C214" s="16"/>
      <c r="D214" s="16"/>
      <c r="E214" s="16"/>
      <c r="F214" s="16"/>
    </row>
    <row r="215" spans="1:6" x14ac:dyDescent="0.2">
      <c r="A215" s="16"/>
      <c r="B215" s="16"/>
      <c r="C215" s="16"/>
      <c r="D215" s="16"/>
      <c r="E215" s="16"/>
      <c r="F215" s="16"/>
    </row>
    <row r="216" spans="1:6" x14ac:dyDescent="0.2">
      <c r="A216" s="16"/>
      <c r="B216" s="16"/>
      <c r="C216" s="16"/>
      <c r="D216" s="16"/>
      <c r="E216" s="16"/>
      <c r="F216" s="16"/>
    </row>
    <row r="217" spans="1:6" x14ac:dyDescent="0.2">
      <c r="A217" s="16"/>
      <c r="B217" s="16"/>
      <c r="C217" s="16"/>
      <c r="D217" s="16"/>
      <c r="E217" s="16"/>
      <c r="F217" s="16"/>
    </row>
    <row r="218" spans="1:6" x14ac:dyDescent="0.2">
      <c r="A218" s="16"/>
      <c r="B218" s="16"/>
      <c r="C218" s="16"/>
      <c r="D218" s="16"/>
      <c r="E218" s="16"/>
      <c r="F218" s="16"/>
    </row>
    <row r="219" spans="1:6" x14ac:dyDescent="0.2">
      <c r="A219" s="16"/>
      <c r="B219" s="16"/>
      <c r="C219" s="16"/>
      <c r="D219" s="16"/>
      <c r="E219" s="16"/>
      <c r="F219" s="16"/>
    </row>
    <row r="220" spans="1:6" x14ac:dyDescent="0.2">
      <c r="A220" s="16"/>
      <c r="B220" s="16"/>
      <c r="C220" s="16"/>
      <c r="D220" s="16"/>
      <c r="E220" s="16"/>
      <c r="F220" s="16"/>
    </row>
    <row r="221" spans="1:6" x14ac:dyDescent="0.2">
      <c r="A221" s="16"/>
      <c r="B221" s="16"/>
      <c r="C221" s="16"/>
      <c r="D221" s="16"/>
      <c r="E221" s="16"/>
      <c r="F221" s="16"/>
    </row>
    <row r="222" spans="1:6" x14ac:dyDescent="0.2">
      <c r="A222" s="16"/>
      <c r="B222" s="16"/>
      <c r="C222" s="16"/>
      <c r="D222" s="16"/>
      <c r="E222" s="16"/>
      <c r="F222" s="16"/>
    </row>
    <row r="223" spans="1:6" x14ac:dyDescent="0.2">
      <c r="A223" s="16"/>
      <c r="B223" s="16"/>
      <c r="C223" s="16"/>
      <c r="D223" s="16"/>
      <c r="E223" s="16"/>
      <c r="F223" s="16"/>
    </row>
    <row r="224" spans="1:6" x14ac:dyDescent="0.2">
      <c r="A224" s="16"/>
      <c r="B224" s="16"/>
      <c r="C224" s="16"/>
      <c r="D224" s="16"/>
      <c r="E224" s="16"/>
      <c r="F224" s="16"/>
    </row>
    <row r="225" spans="1:6" x14ac:dyDescent="0.2">
      <c r="A225" s="16"/>
      <c r="B225" s="16"/>
      <c r="C225" s="16"/>
      <c r="D225" s="16"/>
      <c r="E225" s="16"/>
      <c r="F225" s="16"/>
    </row>
    <row r="226" spans="1:6" x14ac:dyDescent="0.2">
      <c r="A226" s="16"/>
      <c r="B226" s="16"/>
      <c r="C226" s="16"/>
      <c r="D226" s="16"/>
      <c r="E226" s="16"/>
      <c r="F226" s="16"/>
    </row>
    <row r="227" spans="1:6" x14ac:dyDescent="0.2">
      <c r="A227" s="16"/>
      <c r="B227" s="16"/>
      <c r="C227" s="16"/>
      <c r="D227" s="16"/>
      <c r="E227" s="16"/>
      <c r="F227" s="16"/>
    </row>
    <row r="228" spans="1:6" x14ac:dyDescent="0.2">
      <c r="A228" s="16"/>
      <c r="B228" s="16"/>
      <c r="C228" s="16"/>
      <c r="D228" s="16"/>
      <c r="E228" s="16"/>
      <c r="F228" s="16"/>
    </row>
    <row r="229" spans="1:6" x14ac:dyDescent="0.2">
      <c r="A229" s="16"/>
      <c r="B229" s="16"/>
      <c r="C229" s="16"/>
      <c r="D229" s="16"/>
      <c r="E229" s="16"/>
      <c r="F229" s="16"/>
    </row>
    <row r="230" spans="1:6" x14ac:dyDescent="0.2">
      <c r="A230" s="16"/>
      <c r="B230" s="16"/>
      <c r="C230" s="16"/>
      <c r="D230" s="16"/>
      <c r="E230" s="16"/>
      <c r="F230" s="16"/>
    </row>
    <row r="231" spans="1:6" x14ac:dyDescent="0.2">
      <c r="A231" s="16"/>
      <c r="B231" s="16"/>
      <c r="C231" s="16"/>
      <c r="D231" s="16"/>
      <c r="E231" s="16"/>
      <c r="F231" s="16"/>
    </row>
    <row r="232" spans="1:6" x14ac:dyDescent="0.2">
      <c r="A232" s="16"/>
      <c r="B232" s="16"/>
      <c r="C232" s="16"/>
      <c r="D232" s="16"/>
      <c r="E232" s="16"/>
      <c r="F232" s="16"/>
    </row>
    <row r="233" spans="1:6" x14ac:dyDescent="0.2">
      <c r="A233" s="16"/>
      <c r="B233" s="16"/>
      <c r="C233" s="16"/>
      <c r="D233" s="16"/>
      <c r="E233" s="16"/>
      <c r="F233" s="16"/>
    </row>
    <row r="234" spans="1:6" x14ac:dyDescent="0.2">
      <c r="A234" s="16"/>
      <c r="B234" s="16"/>
      <c r="C234" s="16"/>
      <c r="D234" s="16"/>
      <c r="E234" s="16"/>
      <c r="F234" s="16"/>
    </row>
    <row r="235" spans="1:6" x14ac:dyDescent="0.2">
      <c r="A235" s="16"/>
      <c r="B235" s="16"/>
      <c r="C235" s="16"/>
      <c r="D235" s="16"/>
      <c r="E235" s="16"/>
      <c r="F235" s="16"/>
    </row>
    <row r="236" spans="1:6" x14ac:dyDescent="0.2">
      <c r="A236" s="16"/>
      <c r="B236" s="16"/>
      <c r="C236" s="16"/>
      <c r="D236" s="16"/>
      <c r="E236" s="16"/>
      <c r="F236" s="16"/>
    </row>
    <row r="237" spans="1:6" x14ac:dyDescent="0.2">
      <c r="A237" s="16"/>
      <c r="B237" s="16"/>
      <c r="C237" s="16"/>
      <c r="D237" s="16"/>
      <c r="E237" s="16"/>
      <c r="F237" s="16"/>
    </row>
    <row r="238" spans="1:6" x14ac:dyDescent="0.2">
      <c r="A238" s="16"/>
      <c r="B238" s="16"/>
      <c r="C238" s="16"/>
      <c r="D238" s="16"/>
      <c r="E238" s="16"/>
      <c r="F238" s="16"/>
    </row>
    <row r="239" spans="1:6" x14ac:dyDescent="0.2">
      <c r="A239" s="16"/>
      <c r="B239" s="16"/>
      <c r="C239" s="16"/>
      <c r="D239" s="16"/>
      <c r="E239" s="16"/>
      <c r="F239" s="16"/>
    </row>
    <row r="240" spans="1:6" x14ac:dyDescent="0.2">
      <c r="A240" s="16"/>
      <c r="B240" s="16"/>
      <c r="C240" s="16"/>
      <c r="D240" s="16"/>
      <c r="E240" s="16"/>
      <c r="F240" s="16"/>
    </row>
    <row r="241" spans="1:6" x14ac:dyDescent="0.2">
      <c r="A241" s="16"/>
      <c r="B241" s="16"/>
      <c r="C241" s="16"/>
      <c r="D241" s="16"/>
      <c r="E241" s="16"/>
      <c r="F241" s="16"/>
    </row>
    <row r="242" spans="1:6" x14ac:dyDescent="0.2">
      <c r="A242" s="16"/>
      <c r="B242" s="16"/>
      <c r="C242" s="16"/>
      <c r="D242" s="16"/>
      <c r="E242" s="16"/>
      <c r="F242" s="16"/>
    </row>
    <row r="243" spans="1:6" x14ac:dyDescent="0.2">
      <c r="A243" s="16"/>
      <c r="B243" s="16"/>
      <c r="C243" s="16"/>
      <c r="D243" s="16"/>
      <c r="E243" s="16"/>
      <c r="F243" s="16"/>
    </row>
    <row r="244" spans="1:6" x14ac:dyDescent="0.2">
      <c r="A244" s="16"/>
      <c r="B244" s="16"/>
      <c r="C244" s="16"/>
      <c r="D244" s="16"/>
      <c r="E244" s="16"/>
      <c r="F244" s="16"/>
    </row>
    <row r="245" spans="1:6" x14ac:dyDescent="0.2">
      <c r="A245" s="16"/>
      <c r="B245" s="16"/>
      <c r="C245" s="16"/>
      <c r="D245" s="16"/>
      <c r="E245" s="16"/>
      <c r="F245" s="16"/>
    </row>
    <row r="246" spans="1:6" x14ac:dyDescent="0.2">
      <c r="A246" s="16"/>
      <c r="B246" s="16"/>
      <c r="C246" s="16"/>
      <c r="D246" s="16"/>
      <c r="E246" s="16"/>
      <c r="F246" s="16"/>
    </row>
    <row r="247" spans="1:6" x14ac:dyDescent="0.2">
      <c r="A247" s="16"/>
      <c r="B247" s="16"/>
      <c r="C247" s="16"/>
      <c r="D247" s="16"/>
      <c r="E247" s="16"/>
      <c r="F247" s="16"/>
    </row>
    <row r="248" spans="1:6" x14ac:dyDescent="0.2">
      <c r="A248" s="16"/>
      <c r="B248" s="16"/>
      <c r="C248" s="16"/>
      <c r="D248" s="16"/>
      <c r="E248" s="16"/>
      <c r="F248" s="16"/>
    </row>
    <row r="249" spans="1:6" x14ac:dyDescent="0.2">
      <c r="A249" s="16"/>
      <c r="B249" s="16"/>
      <c r="C249" s="16"/>
      <c r="D249" s="16"/>
      <c r="E249" s="16"/>
      <c r="F249" s="16"/>
    </row>
    <row r="250" spans="1:6" x14ac:dyDescent="0.2">
      <c r="A250" s="16"/>
      <c r="B250" s="16"/>
      <c r="C250" s="16"/>
      <c r="D250" s="16"/>
      <c r="E250" s="16"/>
      <c r="F250" s="16"/>
    </row>
    <row r="251" spans="1:6" x14ac:dyDescent="0.2">
      <c r="A251" s="16"/>
      <c r="B251" s="16"/>
      <c r="C251" s="16"/>
      <c r="D251" s="16"/>
      <c r="E251" s="16"/>
      <c r="F251" s="16"/>
    </row>
    <row r="252" spans="1:6" x14ac:dyDescent="0.2">
      <c r="A252" s="16"/>
      <c r="B252" s="16"/>
      <c r="C252" s="16"/>
      <c r="D252" s="16"/>
      <c r="E252" s="16"/>
      <c r="F252" s="16"/>
    </row>
    <row r="253" spans="1:6" x14ac:dyDescent="0.2">
      <c r="A253" s="16"/>
      <c r="B253" s="16"/>
      <c r="C253" s="16"/>
      <c r="D253" s="16"/>
      <c r="E253" s="16"/>
      <c r="F253" s="16"/>
    </row>
    <row r="254" spans="1:6" x14ac:dyDescent="0.2">
      <c r="A254" s="16"/>
      <c r="B254" s="16"/>
      <c r="C254" s="16"/>
      <c r="D254" s="16"/>
      <c r="E254" s="16"/>
      <c r="F254" s="16"/>
    </row>
    <row r="255" spans="1:6" x14ac:dyDescent="0.2">
      <c r="A255" s="16"/>
      <c r="B255" s="16"/>
      <c r="C255" s="16"/>
      <c r="D255" s="16"/>
      <c r="E255" s="16"/>
      <c r="F255" s="16"/>
    </row>
    <row r="256" spans="1:6" x14ac:dyDescent="0.2">
      <c r="A256" s="16"/>
      <c r="B256" s="16"/>
      <c r="C256" s="16"/>
      <c r="D256" s="16"/>
      <c r="E256" s="16"/>
      <c r="F256" s="16"/>
    </row>
    <row r="257" spans="1:6" x14ac:dyDescent="0.2">
      <c r="A257" s="16"/>
      <c r="B257" s="16"/>
      <c r="C257" s="16"/>
      <c r="D257" s="16"/>
      <c r="E257" s="16"/>
      <c r="F257" s="16"/>
    </row>
    <row r="258" spans="1:6" x14ac:dyDescent="0.2">
      <c r="A258" s="16"/>
      <c r="B258" s="16"/>
      <c r="C258" s="16"/>
      <c r="D258" s="16"/>
      <c r="E258" s="16"/>
      <c r="F258" s="16"/>
    </row>
    <row r="259" spans="1:6" x14ac:dyDescent="0.2">
      <c r="A259" s="16"/>
      <c r="B259" s="16"/>
      <c r="C259" s="16"/>
      <c r="D259" s="16"/>
      <c r="E259" s="16"/>
      <c r="F259" s="16"/>
    </row>
    <row r="260" spans="1:6" x14ac:dyDescent="0.2">
      <c r="A260" s="16"/>
      <c r="B260" s="16"/>
      <c r="C260" s="16"/>
      <c r="D260" s="16"/>
      <c r="E260" s="16"/>
      <c r="F260" s="16"/>
    </row>
    <row r="261" spans="1:6" x14ac:dyDescent="0.2">
      <c r="A261" s="16"/>
      <c r="B261" s="16"/>
      <c r="C261" s="16"/>
      <c r="D261" s="16"/>
      <c r="E261" s="16"/>
      <c r="F261" s="16"/>
    </row>
    <row r="262" spans="1:6" x14ac:dyDescent="0.2">
      <c r="A262" s="16"/>
      <c r="B262" s="16"/>
      <c r="C262" s="16"/>
      <c r="D262" s="16"/>
      <c r="E262" s="16"/>
      <c r="F262" s="16"/>
    </row>
    <row r="263" spans="1:6" x14ac:dyDescent="0.2">
      <c r="A263" s="16"/>
      <c r="B263" s="16"/>
      <c r="C263" s="16"/>
      <c r="D263" s="16"/>
      <c r="E263" s="16"/>
      <c r="F263" s="16"/>
    </row>
    <row r="264" spans="1:6" x14ac:dyDescent="0.2">
      <c r="A264" s="16"/>
      <c r="B264" s="16"/>
      <c r="C264" s="16"/>
      <c r="D264" s="16"/>
      <c r="E264" s="16"/>
      <c r="F264" s="16"/>
    </row>
    <row r="265" spans="1:6" x14ac:dyDescent="0.2">
      <c r="A265" s="16"/>
      <c r="B265" s="16"/>
      <c r="C265" s="16"/>
      <c r="D265" s="16"/>
      <c r="E265" s="16"/>
      <c r="F265" s="16"/>
    </row>
    <row r="266" spans="1:6" x14ac:dyDescent="0.2">
      <c r="A266" s="16"/>
      <c r="B266" s="16"/>
      <c r="C266" s="16"/>
      <c r="D266" s="16"/>
      <c r="E266" s="16"/>
      <c r="F266" s="16"/>
    </row>
    <row r="267" spans="1:6" x14ac:dyDescent="0.2">
      <c r="A267" s="16"/>
      <c r="B267" s="16"/>
      <c r="C267" s="16"/>
      <c r="D267" s="16"/>
      <c r="E267" s="16"/>
      <c r="F267" s="16"/>
    </row>
    <row r="268" spans="1:6" x14ac:dyDescent="0.2">
      <c r="A268" s="16"/>
      <c r="B268" s="16"/>
      <c r="C268" s="16"/>
      <c r="D268" s="16"/>
      <c r="E268" s="16"/>
      <c r="F268" s="16"/>
    </row>
    <row r="269" spans="1:6" x14ac:dyDescent="0.2">
      <c r="A269" s="16"/>
      <c r="B269" s="16"/>
      <c r="C269" s="16"/>
      <c r="D269" s="16"/>
      <c r="E269" s="16"/>
      <c r="F269" s="16"/>
    </row>
    <row r="270" spans="1:6" x14ac:dyDescent="0.2">
      <c r="A270" s="16"/>
      <c r="B270" s="16"/>
      <c r="C270" s="16"/>
      <c r="D270" s="16"/>
      <c r="E270" s="16"/>
      <c r="F270" s="16"/>
    </row>
    <row r="271" spans="1:6" x14ac:dyDescent="0.2">
      <c r="A271" s="16"/>
      <c r="B271" s="16"/>
      <c r="C271" s="16"/>
      <c r="D271" s="16"/>
      <c r="E271" s="16"/>
      <c r="F271" s="16"/>
    </row>
    <row r="272" spans="1:6" x14ac:dyDescent="0.2">
      <c r="A272" s="16"/>
      <c r="B272" s="16"/>
      <c r="C272" s="16"/>
      <c r="D272" s="16"/>
      <c r="E272" s="16"/>
      <c r="F272" s="16"/>
    </row>
    <row r="273" spans="1:6" x14ac:dyDescent="0.2">
      <c r="A273" s="16"/>
      <c r="B273" s="16"/>
      <c r="C273" s="16"/>
      <c r="D273" s="16"/>
      <c r="E273" s="16"/>
      <c r="F273" s="16"/>
    </row>
    <row r="274" spans="1:6" x14ac:dyDescent="0.2">
      <c r="A274" s="16"/>
      <c r="B274" s="16"/>
      <c r="C274" s="16"/>
      <c r="D274" s="16"/>
      <c r="E274" s="16"/>
      <c r="F274" s="16"/>
    </row>
    <row r="275" spans="1:6" x14ac:dyDescent="0.2">
      <c r="A275" s="16"/>
      <c r="B275" s="16"/>
      <c r="C275" s="16"/>
      <c r="D275" s="16"/>
      <c r="E275" s="16"/>
      <c r="F275" s="16"/>
    </row>
    <row r="276" spans="1:6" x14ac:dyDescent="0.2">
      <c r="A276" s="16"/>
      <c r="B276" s="16"/>
      <c r="C276" s="16"/>
      <c r="D276" s="16"/>
      <c r="E276" s="16"/>
      <c r="F276" s="16"/>
    </row>
    <row r="277" spans="1:6" x14ac:dyDescent="0.2">
      <c r="A277" s="16"/>
      <c r="B277" s="16"/>
      <c r="C277" s="16"/>
      <c r="D277" s="16"/>
      <c r="E277" s="16"/>
      <c r="F277" s="16"/>
    </row>
    <row r="278" spans="1:6" x14ac:dyDescent="0.2">
      <c r="A278" s="16"/>
      <c r="B278" s="16"/>
      <c r="C278" s="16"/>
      <c r="D278" s="16"/>
      <c r="E278" s="16"/>
      <c r="F278" s="16"/>
    </row>
    <row r="279" spans="1:6" x14ac:dyDescent="0.2">
      <c r="A279" s="16"/>
      <c r="B279" s="16"/>
      <c r="C279" s="16"/>
      <c r="D279" s="16"/>
      <c r="E279" s="16"/>
      <c r="F279" s="16"/>
    </row>
    <row r="280" spans="1:6" x14ac:dyDescent="0.2">
      <c r="A280" s="16"/>
      <c r="B280" s="16"/>
      <c r="C280" s="16"/>
      <c r="D280" s="16"/>
      <c r="E280" s="16"/>
      <c r="F280" s="16"/>
    </row>
    <row r="281" spans="1:6" x14ac:dyDescent="0.2">
      <c r="A281" s="16"/>
      <c r="B281" s="16"/>
      <c r="C281" s="16"/>
      <c r="D281" s="16"/>
      <c r="E281" s="16"/>
      <c r="F281" s="16"/>
    </row>
    <row r="282" spans="1:6" x14ac:dyDescent="0.2">
      <c r="A282" s="16"/>
      <c r="B282" s="16"/>
      <c r="C282" s="16"/>
      <c r="D282" s="16"/>
      <c r="E282" s="16"/>
      <c r="F282" s="16"/>
    </row>
    <row r="283" spans="1:6" x14ac:dyDescent="0.2">
      <c r="A283" s="16"/>
      <c r="B283" s="16"/>
      <c r="C283" s="16"/>
      <c r="D283" s="16"/>
      <c r="E283" s="16"/>
      <c r="F283" s="16"/>
    </row>
    <row r="284" spans="1:6" x14ac:dyDescent="0.2">
      <c r="A284" s="16"/>
      <c r="B284" s="16"/>
      <c r="C284" s="16"/>
      <c r="D284" s="16"/>
      <c r="E284" s="16"/>
      <c r="F284" s="16"/>
    </row>
    <row r="285" spans="1:6" x14ac:dyDescent="0.2">
      <c r="A285" s="16"/>
      <c r="B285" s="16"/>
      <c r="C285" s="16"/>
      <c r="D285" s="16"/>
      <c r="E285" s="16"/>
      <c r="F285" s="16"/>
    </row>
    <row r="286" spans="1:6" x14ac:dyDescent="0.2">
      <c r="A286" s="16"/>
      <c r="B286" s="16"/>
      <c r="C286" s="16"/>
      <c r="D286" s="16"/>
      <c r="E286" s="16"/>
      <c r="F286" s="16"/>
    </row>
    <row r="287" spans="1:6" x14ac:dyDescent="0.2">
      <c r="A287" s="16"/>
      <c r="B287" s="16"/>
      <c r="C287" s="16"/>
      <c r="D287" s="16"/>
      <c r="E287" s="16"/>
      <c r="F287" s="16"/>
    </row>
    <row r="288" spans="1:6" x14ac:dyDescent="0.2">
      <c r="A288" s="16"/>
      <c r="B288" s="16"/>
      <c r="C288" s="16"/>
      <c r="D288" s="16"/>
      <c r="E288" s="16"/>
      <c r="F288" s="16"/>
    </row>
    <row r="289" spans="1:6" x14ac:dyDescent="0.2">
      <c r="A289" s="16"/>
      <c r="B289" s="16"/>
      <c r="C289" s="16"/>
      <c r="D289" s="16"/>
      <c r="E289" s="16"/>
      <c r="F289" s="16"/>
    </row>
    <row r="290" spans="1:6" x14ac:dyDescent="0.2">
      <c r="A290" s="16"/>
      <c r="B290" s="16"/>
      <c r="C290" s="16"/>
      <c r="D290" s="16"/>
      <c r="E290" s="16"/>
      <c r="F290" s="16"/>
    </row>
    <row r="291" spans="1:6" x14ac:dyDescent="0.2">
      <c r="A291" s="16"/>
      <c r="B291" s="16"/>
      <c r="C291" s="16"/>
      <c r="D291" s="16"/>
      <c r="E291" s="16"/>
      <c r="F291" s="16"/>
    </row>
    <row r="292" spans="1:6" x14ac:dyDescent="0.2">
      <c r="A292" s="16"/>
      <c r="B292" s="16"/>
      <c r="C292" s="16"/>
      <c r="D292" s="16"/>
      <c r="E292" s="16"/>
      <c r="F292" s="16"/>
    </row>
    <row r="293" spans="1:6" x14ac:dyDescent="0.2">
      <c r="A293" s="16"/>
      <c r="B293" s="16"/>
      <c r="C293" s="16"/>
      <c r="D293" s="16"/>
      <c r="E293" s="16"/>
      <c r="F293" s="16"/>
    </row>
    <row r="294" spans="1:6" x14ac:dyDescent="0.2">
      <c r="A294" s="16"/>
      <c r="B294" s="16"/>
      <c r="C294" s="16"/>
      <c r="D294" s="16"/>
      <c r="E294" s="16"/>
      <c r="F294" s="16"/>
    </row>
    <row r="295" spans="1:6" x14ac:dyDescent="0.2">
      <c r="A295" s="16"/>
      <c r="B295" s="16"/>
      <c r="C295" s="16"/>
      <c r="D295" s="16"/>
      <c r="E295" s="16"/>
      <c r="F295" s="16"/>
    </row>
    <row r="296" spans="1:6" x14ac:dyDescent="0.2">
      <c r="A296" s="16"/>
      <c r="B296" s="16"/>
      <c r="C296" s="16"/>
      <c r="D296" s="16"/>
      <c r="E296" s="16"/>
      <c r="F296" s="16"/>
    </row>
    <row r="297" spans="1:6" x14ac:dyDescent="0.2">
      <c r="A297" s="16"/>
      <c r="B297" s="16"/>
      <c r="C297" s="16"/>
      <c r="D297" s="16"/>
      <c r="E297" s="16"/>
      <c r="F297" s="16"/>
    </row>
    <row r="298" spans="1:6" x14ac:dyDescent="0.2">
      <c r="A298" s="16"/>
      <c r="B298" s="16"/>
      <c r="C298" s="16"/>
      <c r="D298" s="16"/>
      <c r="E298" s="16"/>
      <c r="F298" s="16"/>
    </row>
    <row r="299" spans="1:6" x14ac:dyDescent="0.2">
      <c r="A299" s="16"/>
      <c r="B299" s="16"/>
      <c r="C299" s="16"/>
      <c r="D299" s="16"/>
      <c r="E299" s="16"/>
      <c r="F299" s="16"/>
    </row>
    <row r="300" spans="1:6" x14ac:dyDescent="0.2">
      <c r="A300" s="16"/>
      <c r="B300" s="16"/>
      <c r="C300" s="16"/>
      <c r="D300" s="16"/>
      <c r="E300" s="16"/>
      <c r="F300" s="16"/>
    </row>
    <row r="301" spans="1:6" x14ac:dyDescent="0.2">
      <c r="A301" s="16"/>
      <c r="B301" s="16"/>
      <c r="C301" s="16"/>
      <c r="D301" s="16"/>
      <c r="E301" s="16"/>
      <c r="F301" s="16"/>
    </row>
    <row r="302" spans="1:6" x14ac:dyDescent="0.2">
      <c r="A302" s="16"/>
      <c r="B302" s="16"/>
      <c r="C302" s="16"/>
      <c r="D302" s="16"/>
      <c r="E302" s="16"/>
      <c r="F302" s="16"/>
    </row>
    <row r="303" spans="1:6" x14ac:dyDescent="0.2">
      <c r="A303" s="16"/>
      <c r="B303" s="16"/>
      <c r="C303" s="16"/>
      <c r="D303" s="16"/>
      <c r="E303" s="16"/>
      <c r="F303" s="16"/>
    </row>
    <row r="304" spans="1:6" x14ac:dyDescent="0.2">
      <c r="A304" s="16"/>
      <c r="B304" s="16"/>
      <c r="C304" s="16"/>
      <c r="D304" s="16"/>
      <c r="E304" s="16"/>
      <c r="F304" s="16"/>
    </row>
    <row r="305" spans="1:6" x14ac:dyDescent="0.2">
      <c r="A305" s="16"/>
      <c r="B305" s="16"/>
      <c r="C305" s="16"/>
      <c r="D305" s="16"/>
      <c r="E305" s="16"/>
      <c r="F305" s="16"/>
    </row>
    <row r="306" spans="1:6" x14ac:dyDescent="0.2">
      <c r="A306" s="16"/>
      <c r="B306" s="16"/>
      <c r="C306" s="16"/>
      <c r="D306" s="16"/>
      <c r="E306" s="16"/>
      <c r="F306" s="16"/>
    </row>
    <row r="307" spans="1:6" x14ac:dyDescent="0.2">
      <c r="A307" s="16"/>
      <c r="B307" s="16"/>
      <c r="C307" s="16"/>
      <c r="D307" s="16"/>
      <c r="E307" s="16"/>
      <c r="F307" s="16"/>
    </row>
    <row r="308" spans="1:6" x14ac:dyDescent="0.2">
      <c r="A308" s="16"/>
      <c r="B308" s="16"/>
      <c r="C308" s="16"/>
      <c r="D308" s="16"/>
      <c r="E308" s="16"/>
      <c r="F308" s="16"/>
    </row>
    <row r="309" spans="1:6" x14ac:dyDescent="0.2">
      <c r="A309" s="16"/>
      <c r="B309" s="16"/>
      <c r="C309" s="16"/>
      <c r="D309" s="16"/>
      <c r="E309" s="16"/>
      <c r="F309" s="16"/>
    </row>
    <row r="310" spans="1:6" x14ac:dyDescent="0.2">
      <c r="A310" s="16"/>
      <c r="B310" s="16"/>
      <c r="C310" s="16"/>
      <c r="D310" s="16"/>
      <c r="E310" s="16"/>
      <c r="F310" s="16"/>
    </row>
    <row r="311" spans="1:6" x14ac:dyDescent="0.2">
      <c r="A311" s="16"/>
      <c r="B311" s="16"/>
      <c r="C311" s="16"/>
      <c r="D311" s="16"/>
      <c r="E311" s="16"/>
      <c r="F311" s="16"/>
    </row>
    <row r="312" spans="1:6" x14ac:dyDescent="0.2">
      <c r="A312" s="16"/>
      <c r="B312" s="16"/>
      <c r="C312" s="16"/>
      <c r="D312" s="16"/>
      <c r="E312" s="16"/>
      <c r="F312" s="16"/>
    </row>
    <row r="313" spans="1:6" x14ac:dyDescent="0.2">
      <c r="A313" s="16"/>
      <c r="B313" s="16"/>
      <c r="C313" s="16"/>
      <c r="D313" s="16"/>
      <c r="E313" s="16"/>
      <c r="F313" s="16"/>
    </row>
    <row r="314" spans="1:6" x14ac:dyDescent="0.2">
      <c r="A314" s="16"/>
      <c r="B314" s="16"/>
      <c r="C314" s="16"/>
      <c r="D314" s="16"/>
      <c r="E314" s="16"/>
      <c r="F314" s="16"/>
    </row>
    <row r="315" spans="1:6" x14ac:dyDescent="0.2">
      <c r="A315" s="16"/>
      <c r="B315" s="16"/>
      <c r="C315" s="16"/>
      <c r="D315" s="16"/>
      <c r="E315" s="16"/>
      <c r="F315" s="16"/>
    </row>
    <row r="316" spans="1:6" x14ac:dyDescent="0.2">
      <c r="A316" s="16"/>
      <c r="B316" s="16"/>
      <c r="C316" s="16"/>
      <c r="D316" s="16"/>
      <c r="E316" s="16"/>
      <c r="F316" s="16"/>
    </row>
    <row r="317" spans="1:6" x14ac:dyDescent="0.2">
      <c r="A317" s="16"/>
      <c r="B317" s="16"/>
      <c r="C317" s="16"/>
      <c r="D317" s="16"/>
      <c r="E317" s="16"/>
      <c r="F317" s="16"/>
    </row>
    <row r="318" spans="1:6" x14ac:dyDescent="0.2">
      <c r="A318" s="16"/>
      <c r="B318" s="16"/>
      <c r="C318" s="16"/>
      <c r="D318" s="16"/>
      <c r="E318" s="16"/>
      <c r="F318" s="16"/>
    </row>
    <row r="319" spans="1:6" x14ac:dyDescent="0.2">
      <c r="A319" s="16"/>
      <c r="B319" s="16"/>
      <c r="C319" s="16"/>
      <c r="D319" s="16"/>
      <c r="E319" s="16"/>
      <c r="F319" s="16"/>
    </row>
    <row r="320" spans="1:6" x14ac:dyDescent="0.2">
      <c r="A320" s="16"/>
      <c r="B320" s="16"/>
      <c r="C320" s="16"/>
      <c r="D320" s="16"/>
      <c r="E320" s="16"/>
      <c r="F320" s="16"/>
    </row>
    <row r="321" spans="1:6" x14ac:dyDescent="0.2">
      <c r="A321" s="16"/>
      <c r="B321" s="16"/>
      <c r="C321" s="16"/>
      <c r="D321" s="16"/>
      <c r="E321" s="16"/>
      <c r="F321" s="16"/>
    </row>
    <row r="322" spans="1:6" x14ac:dyDescent="0.2">
      <c r="A322" s="16"/>
      <c r="B322" s="16"/>
      <c r="C322" s="16"/>
      <c r="D322" s="16"/>
      <c r="E322" s="16"/>
      <c r="F322" s="16"/>
    </row>
    <row r="323" spans="1:6" x14ac:dyDescent="0.2">
      <c r="A323" s="16"/>
      <c r="B323" s="16"/>
      <c r="C323" s="16"/>
      <c r="D323" s="16"/>
      <c r="E323" s="16"/>
      <c r="F323" s="16"/>
    </row>
    <row r="324" spans="1:6" x14ac:dyDescent="0.2">
      <c r="A324" s="16"/>
      <c r="B324" s="16"/>
      <c r="C324" s="16"/>
      <c r="D324" s="16"/>
      <c r="E324" s="16"/>
      <c r="F324" s="16"/>
    </row>
    <row r="325" spans="1:6" x14ac:dyDescent="0.2">
      <c r="A325" s="16"/>
      <c r="B325" s="16"/>
      <c r="C325" s="16"/>
      <c r="D325" s="16"/>
      <c r="E325" s="16"/>
      <c r="F325" s="16"/>
    </row>
    <row r="326" spans="1:6" x14ac:dyDescent="0.2">
      <c r="A326" s="16"/>
      <c r="B326" s="16"/>
      <c r="C326" s="16"/>
      <c r="D326" s="16"/>
      <c r="E326" s="16"/>
      <c r="F326" s="16"/>
    </row>
    <row r="327" spans="1:6" x14ac:dyDescent="0.2">
      <c r="A327" s="16"/>
      <c r="B327" s="16"/>
      <c r="C327" s="16"/>
      <c r="D327" s="16"/>
      <c r="E327" s="16"/>
      <c r="F327" s="16"/>
    </row>
    <row r="328" spans="1:6" x14ac:dyDescent="0.2">
      <c r="A328" s="16"/>
      <c r="B328" s="16"/>
      <c r="C328" s="16"/>
      <c r="D328" s="16"/>
      <c r="E328" s="16"/>
      <c r="F328" s="16"/>
    </row>
    <row r="329" spans="1:6" x14ac:dyDescent="0.2">
      <c r="A329" s="16"/>
      <c r="B329" s="16"/>
      <c r="C329" s="16"/>
      <c r="D329" s="16"/>
      <c r="E329" s="16"/>
      <c r="F329" s="16"/>
    </row>
    <row r="330" spans="1:6" x14ac:dyDescent="0.2">
      <c r="A330" s="16"/>
      <c r="B330" s="16"/>
      <c r="C330" s="16"/>
      <c r="D330" s="16"/>
      <c r="E330" s="16"/>
      <c r="F330" s="16"/>
    </row>
    <row r="331" spans="1:6" x14ac:dyDescent="0.2">
      <c r="A331" s="16"/>
      <c r="B331" s="16"/>
      <c r="C331" s="16"/>
      <c r="D331" s="16"/>
      <c r="E331" s="16"/>
      <c r="F331" s="16"/>
    </row>
    <row r="332" spans="1:6" x14ac:dyDescent="0.2">
      <c r="A332" s="16"/>
      <c r="B332" s="16"/>
      <c r="C332" s="16"/>
      <c r="D332" s="16"/>
      <c r="E332" s="16"/>
      <c r="F332" s="16"/>
    </row>
    <row r="333" spans="1:6" x14ac:dyDescent="0.2">
      <c r="A333" s="16"/>
      <c r="B333" s="16"/>
      <c r="C333" s="16"/>
      <c r="D333" s="16"/>
      <c r="E333" s="16"/>
      <c r="F333" s="16"/>
    </row>
    <row r="334" spans="1:6" x14ac:dyDescent="0.2">
      <c r="A334" s="16"/>
      <c r="B334" s="16"/>
      <c r="C334" s="16"/>
      <c r="D334" s="16"/>
      <c r="E334" s="16"/>
      <c r="F334" s="16"/>
    </row>
    <row r="335" spans="1:6" x14ac:dyDescent="0.2">
      <c r="A335" s="16"/>
      <c r="B335" s="16"/>
      <c r="C335" s="16"/>
      <c r="D335" s="16"/>
      <c r="E335" s="16"/>
      <c r="F335" s="16"/>
    </row>
    <row r="336" spans="1:6" x14ac:dyDescent="0.2">
      <c r="A336" s="16"/>
      <c r="B336" s="16"/>
      <c r="C336" s="16"/>
      <c r="D336" s="16"/>
      <c r="E336" s="16"/>
      <c r="F336" s="16"/>
    </row>
    <row r="337" spans="1:6" x14ac:dyDescent="0.2">
      <c r="A337" s="16"/>
      <c r="B337" s="16"/>
      <c r="C337" s="16"/>
      <c r="D337" s="16"/>
      <c r="E337" s="16"/>
      <c r="F337" s="16"/>
    </row>
    <row r="338" spans="1:6" x14ac:dyDescent="0.2">
      <c r="A338" s="16"/>
      <c r="B338" s="16"/>
      <c r="C338" s="16"/>
      <c r="D338" s="16"/>
      <c r="E338" s="16"/>
      <c r="F338" s="16"/>
    </row>
    <row r="339" spans="1:6" x14ac:dyDescent="0.2">
      <c r="A339" s="16"/>
      <c r="B339" s="16"/>
      <c r="C339" s="16"/>
      <c r="D339" s="16"/>
      <c r="E339" s="16"/>
      <c r="F339" s="16"/>
    </row>
    <row r="340" spans="1:6" x14ac:dyDescent="0.2">
      <c r="A340" s="16"/>
      <c r="B340" s="16"/>
      <c r="C340" s="16"/>
      <c r="D340" s="16"/>
      <c r="E340" s="16"/>
      <c r="F340" s="16"/>
    </row>
    <row r="341" spans="1:6" x14ac:dyDescent="0.2">
      <c r="A341" s="16"/>
      <c r="B341" s="16"/>
      <c r="C341" s="16"/>
      <c r="D341" s="16"/>
      <c r="E341" s="16"/>
      <c r="F341" s="16"/>
    </row>
    <row r="342" spans="1:6" x14ac:dyDescent="0.2">
      <c r="A342" s="16"/>
      <c r="B342" s="16"/>
      <c r="C342" s="16"/>
      <c r="D342" s="16"/>
      <c r="E342" s="16"/>
      <c r="F342" s="16"/>
    </row>
    <row r="343" spans="1:6" x14ac:dyDescent="0.2">
      <c r="A343" s="16"/>
      <c r="B343" s="16"/>
      <c r="C343" s="16"/>
      <c r="D343" s="16"/>
      <c r="E343" s="16"/>
      <c r="F343" s="16"/>
    </row>
    <row r="344" spans="1:6" x14ac:dyDescent="0.2">
      <c r="A344" s="16"/>
      <c r="B344" s="16"/>
      <c r="C344" s="16"/>
      <c r="D344" s="16"/>
      <c r="E344" s="16"/>
      <c r="F344" s="16"/>
    </row>
    <row r="345" spans="1:6" x14ac:dyDescent="0.2">
      <c r="A345" s="16"/>
      <c r="B345" s="16"/>
      <c r="C345" s="16"/>
      <c r="D345" s="16"/>
      <c r="E345" s="16"/>
      <c r="F345" s="16"/>
    </row>
    <row r="346" spans="1:6" x14ac:dyDescent="0.2">
      <c r="A346" s="16"/>
      <c r="B346" s="16"/>
      <c r="C346" s="16"/>
      <c r="D346" s="16"/>
      <c r="E346" s="16"/>
      <c r="F346" s="16"/>
    </row>
    <row r="347" spans="1:6" x14ac:dyDescent="0.2">
      <c r="A347" s="16"/>
      <c r="B347" s="16"/>
      <c r="C347" s="16"/>
      <c r="D347" s="16"/>
      <c r="E347" s="16"/>
      <c r="F347" s="16"/>
    </row>
    <row r="348" spans="1:6" x14ac:dyDescent="0.2">
      <c r="A348" s="16"/>
      <c r="B348" s="16"/>
      <c r="C348" s="16"/>
      <c r="D348" s="16"/>
      <c r="E348" s="16"/>
      <c r="F348" s="16"/>
    </row>
    <row r="349" spans="1:6" x14ac:dyDescent="0.2">
      <c r="A349" s="16"/>
      <c r="B349" s="16"/>
      <c r="C349" s="16"/>
      <c r="D349" s="16"/>
      <c r="E349" s="16"/>
      <c r="F349" s="16"/>
    </row>
    <row r="350" spans="1:6" x14ac:dyDescent="0.2">
      <c r="A350" s="16"/>
      <c r="B350" s="16"/>
      <c r="C350" s="16"/>
      <c r="D350" s="16"/>
      <c r="E350" s="16"/>
      <c r="F350" s="16"/>
    </row>
    <row r="351" spans="1:6" x14ac:dyDescent="0.2">
      <c r="A351" s="16"/>
      <c r="B351" s="16"/>
      <c r="C351" s="16"/>
      <c r="D351" s="16"/>
      <c r="E351" s="16"/>
      <c r="F351" s="16"/>
    </row>
    <row r="352" spans="1:6" x14ac:dyDescent="0.2">
      <c r="A352" s="16"/>
      <c r="B352" s="16"/>
      <c r="C352" s="16"/>
      <c r="D352" s="16"/>
      <c r="E352" s="16"/>
      <c r="F352" s="16"/>
    </row>
    <row r="353" spans="1:6" x14ac:dyDescent="0.2">
      <c r="A353" s="16"/>
      <c r="B353" s="16"/>
      <c r="C353" s="16"/>
      <c r="D353" s="16"/>
      <c r="E353" s="16"/>
      <c r="F353" s="16"/>
    </row>
    <row r="354" spans="1:6" x14ac:dyDescent="0.2">
      <c r="A354" s="16"/>
      <c r="B354" s="16"/>
      <c r="C354" s="16"/>
      <c r="D354" s="16"/>
      <c r="E354" s="16"/>
      <c r="F354" s="16"/>
    </row>
    <row r="355" spans="1:6" x14ac:dyDescent="0.2">
      <c r="A355" s="16"/>
      <c r="B355" s="16"/>
      <c r="C355" s="16"/>
      <c r="D355" s="16"/>
      <c r="E355" s="16"/>
      <c r="F355" s="16"/>
    </row>
    <row r="356" spans="1:6" x14ac:dyDescent="0.2">
      <c r="A356" s="16"/>
      <c r="B356" s="16"/>
      <c r="C356" s="16"/>
      <c r="D356" s="16"/>
      <c r="E356" s="16"/>
      <c r="F356" s="16"/>
    </row>
    <row r="357" spans="1:6" x14ac:dyDescent="0.2">
      <c r="A357" s="16"/>
      <c r="B357" s="16"/>
      <c r="C357" s="16"/>
      <c r="D357" s="16"/>
      <c r="E357" s="16"/>
      <c r="F357" s="16"/>
    </row>
    <row r="358" spans="1:6" x14ac:dyDescent="0.2">
      <c r="A358" s="16"/>
      <c r="B358" s="16"/>
      <c r="C358" s="16"/>
      <c r="D358" s="16"/>
      <c r="E358" s="16"/>
      <c r="F358" s="16"/>
    </row>
    <row r="359" spans="1:6" x14ac:dyDescent="0.2">
      <c r="A359" s="16"/>
      <c r="B359" s="16"/>
      <c r="C359" s="16"/>
      <c r="D359" s="16"/>
      <c r="E359" s="16"/>
      <c r="F359" s="16"/>
    </row>
    <row r="360" spans="1:6" x14ac:dyDescent="0.2">
      <c r="A360" s="16"/>
      <c r="B360" s="16"/>
      <c r="C360" s="16"/>
      <c r="D360" s="16"/>
      <c r="E360" s="16"/>
      <c r="F360" s="16"/>
    </row>
    <row r="361" spans="1:6" x14ac:dyDescent="0.2">
      <c r="A361" s="16"/>
      <c r="B361" s="16"/>
      <c r="C361" s="16"/>
      <c r="D361" s="16"/>
      <c r="E361" s="16"/>
      <c r="F361"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M28"/>
  <sheetViews>
    <sheetView rightToLeft="1" topLeftCell="B1" zoomScale="80" zoomScaleNormal="80" workbookViewId="0">
      <selection activeCell="M10" sqref="M10"/>
    </sheetView>
  </sheetViews>
  <sheetFormatPr defaultRowHeight="14.25" x14ac:dyDescent="0.2"/>
  <cols>
    <col min="1" max="1" width="19.875" customWidth="1"/>
    <col min="2" max="2" width="25.25" customWidth="1"/>
    <col min="3" max="3" width="24.625" customWidth="1"/>
    <col min="4" max="4" width="17.125" bestFit="1" customWidth="1"/>
    <col min="5" max="5" width="16.25" customWidth="1"/>
    <col min="6" max="6" width="11.125" customWidth="1"/>
    <col min="7" max="7" width="20.125" customWidth="1"/>
    <col min="9" max="9" width="24.125" customWidth="1"/>
    <col min="10" max="10" width="68.875" customWidth="1"/>
  </cols>
  <sheetData>
    <row r="1" spans="1:13" ht="15" x14ac:dyDescent="0.2">
      <c r="A1" s="8" t="s">
        <v>65</v>
      </c>
      <c r="B1" s="8" t="s">
        <v>66</v>
      </c>
      <c r="C1" s="8" t="s">
        <v>66</v>
      </c>
      <c r="D1" s="9" t="s">
        <v>67</v>
      </c>
      <c r="E1" s="7" t="s">
        <v>68</v>
      </c>
      <c r="F1" s="7" t="s">
        <v>69</v>
      </c>
      <c r="G1" s="7" t="s">
        <v>70</v>
      </c>
      <c r="I1" s="14" t="s">
        <v>71</v>
      </c>
      <c r="J1" s="14" t="s">
        <v>72</v>
      </c>
    </row>
    <row r="2" spans="1:13" x14ac:dyDescent="0.2">
      <c r="A2" s="8" t="s">
        <v>73</v>
      </c>
      <c r="B2" s="8" t="s">
        <v>74</v>
      </c>
      <c r="C2" s="8" t="s">
        <v>74</v>
      </c>
      <c r="D2" s="10" t="s">
        <v>75</v>
      </c>
      <c r="E2" s="5" t="s">
        <v>76</v>
      </c>
      <c r="F2" s="15" t="s">
        <v>77</v>
      </c>
      <c r="G2" s="18" t="s">
        <v>78</v>
      </c>
      <c r="I2" s="12" t="s">
        <v>79</v>
      </c>
      <c r="J2" s="13" t="s">
        <v>80</v>
      </c>
    </row>
    <row r="3" spans="1:13" x14ac:dyDescent="0.2">
      <c r="A3" s="8" t="s">
        <v>81</v>
      </c>
      <c r="B3" s="8" t="s">
        <v>82</v>
      </c>
      <c r="C3" s="8" t="s">
        <v>82</v>
      </c>
      <c r="D3" s="10" t="s">
        <v>83</v>
      </c>
      <c r="E3" s="5" t="s">
        <v>84</v>
      </c>
      <c r="F3" s="15" t="s">
        <v>85</v>
      </c>
      <c r="G3" s="5" t="s">
        <v>86</v>
      </c>
      <c r="I3" s="12" t="s">
        <v>87</v>
      </c>
      <c r="J3" s="13" t="str">
        <f>CONCATENATE("BidCal Report ",VLOOKUP("###DateTimeNow###", A1:C26, 3))</f>
        <v>BidCal Report 17/07/2022 13:07</v>
      </c>
    </row>
    <row r="4" spans="1:13" x14ac:dyDescent="0.2">
      <c r="A4" s="8" t="s">
        <v>88</v>
      </c>
      <c r="B4" s="8" t="s">
        <v>89</v>
      </c>
      <c r="C4" s="8" t="s">
        <v>89</v>
      </c>
      <c r="D4" s="10" t="s">
        <v>90</v>
      </c>
      <c r="E4" s="5" t="s">
        <v>84</v>
      </c>
      <c r="F4" s="15" t="s">
        <v>91</v>
      </c>
      <c r="G4" s="5" t="s">
        <v>92</v>
      </c>
      <c r="I4" s="12" t="s">
        <v>93</v>
      </c>
      <c r="J4" s="13" t="str">
        <f>CONCATENATE("פנינו לחברות הזוכות ב-",VLOOKUP("###TemplateName###",A2:C29,3,0))</f>
        <v>פנינו לחברות הזוכות ב-הס/03/2021 - כנרת</v>
      </c>
    </row>
    <row r="5" spans="1:13" x14ac:dyDescent="0.2">
      <c r="A5" s="8" t="s">
        <v>94</v>
      </c>
      <c r="B5" s="8" t="s">
        <v>95</v>
      </c>
      <c r="C5" s="8" t="s">
        <v>95</v>
      </c>
      <c r="D5" s="10" t="s">
        <v>96</v>
      </c>
      <c r="E5" s="5" t="s">
        <v>84</v>
      </c>
      <c r="F5" s="15" t="s">
        <v>97</v>
      </c>
      <c r="G5" s="5" t="s">
        <v>98</v>
      </c>
      <c r="I5" s="12" t="s">
        <v>99</v>
      </c>
      <c r="J5" s="13" t="str">
        <f>CONCATENATE("הנדון: ריכוז הצעות מחיר ל",VLOOKUP("###GeneralAuctionName###", A4:C31, 3)," - ",VLOOKUP("###GeneralAuctionNumber###", A4:C31, 3))</f>
        <v>הנדון: ריכוז הצעות מחיר למכרז למתן שירותי היסעים ושירותי הסעות של תלמידים - הס/3/2021</v>
      </c>
    </row>
    <row r="6" spans="1:13" x14ac:dyDescent="0.2">
      <c r="A6" s="8" t="s">
        <v>100</v>
      </c>
      <c r="B6" s="8">
        <v>4.4999999999999998E-2</v>
      </c>
      <c r="C6" s="8" t="s">
        <v>101</v>
      </c>
      <c r="D6" s="10" t="s">
        <v>102</v>
      </c>
      <c r="E6" s="5" t="s">
        <v>84</v>
      </c>
      <c r="F6" s="15" t="s">
        <v>103</v>
      </c>
      <c r="G6" s="5" t="s">
        <v>104</v>
      </c>
      <c r="I6" s="12" t="s">
        <v>105</v>
      </c>
      <c r="J6" s="13" t="str">
        <f>CONCATENATE("מס' נוהל:  ",VLOOKUP("###Siteprocedure###", A$1:C$30, 3))</f>
        <v>מס' נוהל:  A-408108-21-22865</v>
      </c>
    </row>
    <row r="7" spans="1:13" x14ac:dyDescent="0.2">
      <c r="A7" s="8" t="s">
        <v>106</v>
      </c>
      <c r="B7" s="8" t="s">
        <v>107</v>
      </c>
      <c r="C7" s="8" t="s">
        <v>107</v>
      </c>
      <c r="D7" s="10" t="s">
        <v>108</v>
      </c>
      <c r="E7" s="5" t="s">
        <v>84</v>
      </c>
      <c r="F7" s="15" t="s">
        <v>109</v>
      </c>
      <c r="G7" s="5" t="s">
        <v>110</v>
      </c>
      <c r="I7" s="12" t="s">
        <v>111</v>
      </c>
      <c r="J7" s="13" t="str">
        <f>CONCATENATE("אזור:","  ",VLOOKUP("###TemplateName###", A$1:C$30, 3))</f>
        <v>אזור:  הס/03/2021 - כנרת</v>
      </c>
    </row>
    <row r="8" spans="1:13" x14ac:dyDescent="0.2">
      <c r="A8" s="8" t="s">
        <v>112</v>
      </c>
      <c r="B8" s="8">
        <v>44759.546542071803</v>
      </c>
      <c r="C8" s="8" t="s">
        <v>113</v>
      </c>
      <c r="D8" s="10" t="s">
        <v>114</v>
      </c>
      <c r="E8" s="5" t="s">
        <v>84</v>
      </c>
      <c r="F8" s="15" t="s">
        <v>115</v>
      </c>
      <c r="G8" s="5" t="s">
        <v>116</v>
      </c>
      <c r="I8" s="12" t="s">
        <v>117</v>
      </c>
      <c r="J8" s="13" t="str">
        <f>CONCATENATE("רשות:","  ",VLOOKUP("###LocalAuthorityName###", A$1:C$30, 3))</f>
        <v>רשות:  עמק הירדן - מועצה אזורית</v>
      </c>
    </row>
    <row r="9" spans="1:13" x14ac:dyDescent="0.2">
      <c r="A9" s="8" t="s">
        <v>118</v>
      </c>
      <c r="B9" s="8">
        <v>44768</v>
      </c>
      <c r="C9" s="8" t="s">
        <v>119</v>
      </c>
      <c r="D9" s="10" t="s">
        <v>120</v>
      </c>
      <c r="E9" s="5" t="s">
        <v>121</v>
      </c>
      <c r="F9" s="15" t="s">
        <v>122</v>
      </c>
      <c r="G9" s="5" t="s">
        <v>123</v>
      </c>
      <c r="I9" s="12" t="s">
        <v>124</v>
      </c>
      <c r="J9" s="8" t="str">
        <f>INDEX(D2:G26, MATCH(VLOOKUP("###POrganizationContact###",A1:C26,3,0), D2:D26,0), 1)</f>
        <v>קרן לוי</v>
      </c>
      <c r="K9" t="str">
        <f>INDEX(D2:G26, MATCH(VLOOKUP("###POrganizationContact###",A1:C26,3,0), D2:D26,0), 2)</f>
        <v>רכז/ת שירות ותפעול</v>
      </c>
      <c r="L9" t="str">
        <f>INDEX(D2:G26, MATCH(VLOOKUP("###POrganizationContact###",A1:C26,3,0), D2:D26,0), 3)</f>
        <v>052-5533375</v>
      </c>
      <c r="M9" t="str">
        <f>INDEX(D2:G26, MATCH(VLOOKUP("###POrganizationContact###",A1:C26,3,0), D2:D26,0), 4)</f>
        <v>kerenle@mashcal.co.il</v>
      </c>
    </row>
    <row r="10" spans="1:13" x14ac:dyDescent="0.2">
      <c r="A10" s="8" t="s">
        <v>125</v>
      </c>
      <c r="B10" s="8">
        <v>44759.541706249998</v>
      </c>
      <c r="C10" s="8" t="s">
        <v>126</v>
      </c>
      <c r="D10" s="10" t="s">
        <v>127</v>
      </c>
      <c r="E10" s="5" t="s">
        <v>84</v>
      </c>
      <c r="F10" s="15" t="s">
        <v>128</v>
      </c>
      <c r="G10" s="5" t="s">
        <v>129</v>
      </c>
    </row>
    <row r="11" spans="1:13" x14ac:dyDescent="0.2">
      <c r="A11" s="8" t="s">
        <v>130</v>
      </c>
      <c r="B11" s="8">
        <v>0</v>
      </c>
      <c r="C11" s="8" t="s">
        <v>131</v>
      </c>
      <c r="D11" s="10" t="s">
        <v>132</v>
      </c>
      <c r="E11" s="5" t="s">
        <v>121</v>
      </c>
      <c r="F11" s="15" t="s">
        <v>133</v>
      </c>
      <c r="G11" s="5" t="s">
        <v>134</v>
      </c>
    </row>
    <row r="12" spans="1:13" x14ac:dyDescent="0.2">
      <c r="A12" s="8" t="s">
        <v>135</v>
      </c>
      <c r="B12" s="8" t="s">
        <v>136</v>
      </c>
      <c r="C12" s="8" t="s">
        <v>136</v>
      </c>
      <c r="D12" s="10" t="s">
        <v>137</v>
      </c>
      <c r="E12" s="5" t="s">
        <v>84</v>
      </c>
      <c r="F12" s="15" t="s">
        <v>138</v>
      </c>
      <c r="G12" s="5" t="s">
        <v>139</v>
      </c>
    </row>
    <row r="13" spans="1:13" x14ac:dyDescent="0.2">
      <c r="A13" s="8" t="s">
        <v>140</v>
      </c>
      <c r="B13" s="8" t="s">
        <v>141</v>
      </c>
      <c r="C13" s="8" t="s">
        <v>141</v>
      </c>
      <c r="D13" s="10" t="s">
        <v>142</v>
      </c>
      <c r="E13" s="5" t="s">
        <v>121</v>
      </c>
      <c r="F13" s="15" t="s">
        <v>143</v>
      </c>
      <c r="G13" s="19" t="s">
        <v>144</v>
      </c>
    </row>
    <row r="14" spans="1:13" x14ac:dyDescent="0.2">
      <c r="A14" s="8" t="s">
        <v>145</v>
      </c>
      <c r="B14" s="8" t="s">
        <v>146</v>
      </c>
      <c r="C14" s="8" t="s">
        <v>146</v>
      </c>
      <c r="D14" s="10" t="s">
        <v>147</v>
      </c>
      <c r="E14" s="5" t="s">
        <v>121</v>
      </c>
      <c r="F14" s="15" t="s">
        <v>148</v>
      </c>
      <c r="G14" s="5" t="s">
        <v>149</v>
      </c>
    </row>
    <row r="15" spans="1:13" x14ac:dyDescent="0.2">
      <c r="A15" s="8" t="s">
        <v>150</v>
      </c>
      <c r="B15" s="8" t="s">
        <v>151</v>
      </c>
      <c r="C15" s="8" t="s">
        <v>151</v>
      </c>
      <c r="D15" s="10" t="s">
        <v>152</v>
      </c>
      <c r="E15" s="15" t="s">
        <v>153</v>
      </c>
      <c r="F15" s="15" t="s">
        <v>154</v>
      </c>
      <c r="G15" s="5" t="s">
        <v>155</v>
      </c>
    </row>
    <row r="16" spans="1:13" x14ac:dyDescent="0.2">
      <c r="A16" s="8" t="s">
        <v>156</v>
      </c>
      <c r="B16" s="8">
        <v>44753.530565312503</v>
      </c>
      <c r="C16" s="8" t="s">
        <v>157</v>
      </c>
      <c r="D16" s="17" t="s">
        <v>158</v>
      </c>
      <c r="E16" s="5" t="s">
        <v>121</v>
      </c>
      <c r="F16" s="15" t="s">
        <v>159</v>
      </c>
      <c r="G16" s="19" t="s">
        <v>160</v>
      </c>
    </row>
    <row r="17" spans="1:7" x14ac:dyDescent="0.2">
      <c r="A17" s="8" t="s">
        <v>161</v>
      </c>
      <c r="B17" s="8" t="s">
        <v>162</v>
      </c>
      <c r="C17" s="8" t="s">
        <v>162</v>
      </c>
      <c r="D17" s="20" t="s">
        <v>163</v>
      </c>
      <c r="E17" s="5" t="s">
        <v>84</v>
      </c>
      <c r="F17" s="21" t="s">
        <v>164</v>
      </c>
      <c r="G17" s="18" t="s">
        <v>165</v>
      </c>
    </row>
    <row r="18" spans="1:7" x14ac:dyDescent="0.2">
      <c r="A18" s="8" t="s">
        <v>166</v>
      </c>
      <c r="B18" s="8" t="s">
        <v>167</v>
      </c>
      <c r="C18" s="8" t="s">
        <v>167</v>
      </c>
      <c r="D18" s="22" t="s">
        <v>168</v>
      </c>
      <c r="E18" s="5" t="s">
        <v>121</v>
      </c>
      <c r="F18" s="15" t="s">
        <v>169</v>
      </c>
      <c r="G18" s="19" t="s">
        <v>170</v>
      </c>
    </row>
    <row r="19" spans="1:7" x14ac:dyDescent="0.2">
      <c r="A19" s="8" t="s">
        <v>171</v>
      </c>
      <c r="B19" s="8" t="s">
        <v>172</v>
      </c>
      <c r="C19" s="8" t="s">
        <v>172</v>
      </c>
      <c r="D19" s="10" t="s">
        <v>162</v>
      </c>
      <c r="E19" s="15" t="s">
        <v>84</v>
      </c>
      <c r="F19" s="15" t="s">
        <v>173</v>
      </c>
      <c r="G19" s="5" t="s">
        <v>174</v>
      </c>
    </row>
    <row r="20" spans="1:7" x14ac:dyDescent="0.2">
      <c r="A20" s="8" t="s">
        <v>175</v>
      </c>
      <c r="B20" s="8" t="s">
        <v>176</v>
      </c>
      <c r="C20" s="8" t="s">
        <v>176</v>
      </c>
      <c r="D20" s="10"/>
      <c r="E20" s="5"/>
      <c r="F20" s="15"/>
      <c r="G20" s="5"/>
    </row>
    <row r="21" spans="1:7" x14ac:dyDescent="0.2">
      <c r="A21" s="8" t="s">
        <v>177</v>
      </c>
      <c r="B21" s="8" t="s">
        <v>178</v>
      </c>
      <c r="C21" s="8" t="s">
        <v>178</v>
      </c>
      <c r="D21" s="11"/>
      <c r="E21" s="5"/>
      <c r="F21" s="15"/>
      <c r="G21" s="5"/>
    </row>
    <row r="22" spans="1:7" x14ac:dyDescent="0.2">
      <c r="A22" s="8" t="s">
        <v>179</v>
      </c>
      <c r="B22" s="8" t="s">
        <v>180</v>
      </c>
      <c r="C22" s="8" t="s">
        <v>180</v>
      </c>
      <c r="D22" s="18"/>
      <c r="E22" s="5"/>
      <c r="F22" s="15"/>
      <c r="G22" s="18"/>
    </row>
    <row r="23" spans="1:7" x14ac:dyDescent="0.2">
      <c r="A23" s="8" t="s">
        <v>181</v>
      </c>
      <c r="B23" s="8" t="s">
        <v>182</v>
      </c>
      <c r="C23" s="8" t="s">
        <v>182</v>
      </c>
      <c r="D23" s="6"/>
    </row>
    <row r="24" spans="1:7" x14ac:dyDescent="0.2">
      <c r="A24" s="8" t="s">
        <v>183</v>
      </c>
      <c r="B24" s="8" t="s">
        <v>184</v>
      </c>
      <c r="C24" s="8" t="s">
        <v>184</v>
      </c>
      <c r="D24" s="6"/>
    </row>
    <row r="25" spans="1:7" x14ac:dyDescent="0.2">
      <c r="A25" s="8" t="s">
        <v>185</v>
      </c>
      <c r="B25" s="8">
        <v>0.17</v>
      </c>
      <c r="C25" s="8" t="s">
        <v>186</v>
      </c>
      <c r="D25" s="6"/>
    </row>
    <row r="26" spans="1:7" x14ac:dyDescent="0.2">
      <c r="A26" s="8" t="s">
        <v>187</v>
      </c>
      <c r="B26" s="8" t="s">
        <v>188</v>
      </c>
      <c r="C26" s="8" t="s">
        <v>188</v>
      </c>
      <c r="D26" s="6"/>
    </row>
    <row r="27" spans="1:7" x14ac:dyDescent="0.2">
      <c r="A27" s="8"/>
      <c r="B27" s="8"/>
      <c r="C27" s="8"/>
      <c r="D27" s="6"/>
    </row>
    <row r="28" spans="1:7" x14ac:dyDescent="0.2">
      <c r="A28" s="4"/>
      <c r="B28" s="8"/>
      <c r="C28" s="8"/>
      <c r="D28" s="6"/>
    </row>
  </sheetData>
  <sortState xmlns:xlrd2="http://schemas.microsoft.com/office/spreadsheetml/2017/richdata2" ref="D2:G22">
    <sortCondition ref="D2:D2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K44"/>
  <sheetViews>
    <sheetView rightToLeft="1" tabSelected="1" view="pageBreakPreview" topLeftCell="A7" zoomScale="115" zoomScaleNormal="100" zoomScaleSheetLayoutView="115" workbookViewId="0">
      <selection activeCell="H7" sqref="H7:K7"/>
    </sheetView>
  </sheetViews>
  <sheetFormatPr defaultColWidth="9" defaultRowHeight="14.25" x14ac:dyDescent="0.2"/>
  <cols>
    <col min="1" max="4" width="9" style="42" customWidth="1"/>
    <col min="5" max="7" width="9" style="42"/>
    <col min="8" max="8" width="12.25" style="42" customWidth="1"/>
    <col min="9" max="16384" width="9" style="42"/>
  </cols>
  <sheetData>
    <row r="1" spans="1:11" hidden="1" x14ac:dyDescent="0.2">
      <c r="A1" s="111" t="s">
        <v>401</v>
      </c>
      <c r="B1" s="111" t="s">
        <v>401</v>
      </c>
      <c r="C1" s="111" t="s">
        <v>401</v>
      </c>
      <c r="D1" s="111" t="s">
        <v>401</v>
      </c>
      <c r="E1" s="111" t="s">
        <v>401</v>
      </c>
      <c r="F1" s="111" t="s">
        <v>401</v>
      </c>
      <c r="G1" s="111" t="s">
        <v>401</v>
      </c>
      <c r="H1" s="111" t="s">
        <v>401</v>
      </c>
      <c r="I1" s="111" t="s">
        <v>401</v>
      </c>
      <c r="J1" s="111" t="s">
        <v>401</v>
      </c>
      <c r="K1" s="111" t="s">
        <v>401</v>
      </c>
    </row>
    <row r="2" spans="1:11" hidden="1" x14ac:dyDescent="0.2">
      <c r="A2" s="111" t="s">
        <v>401</v>
      </c>
      <c r="B2" s="111" t="s">
        <v>401</v>
      </c>
      <c r="C2" s="111" t="s">
        <v>401</v>
      </c>
      <c r="D2" s="111" t="s">
        <v>401</v>
      </c>
      <c r="E2" s="111" t="s">
        <v>401</v>
      </c>
      <c r="F2" s="111" t="s">
        <v>401</v>
      </c>
      <c r="G2" s="111" t="s">
        <v>401</v>
      </c>
      <c r="H2" s="111" t="s">
        <v>401</v>
      </c>
      <c r="I2" s="111" t="s">
        <v>401</v>
      </c>
      <c r="J2" s="111" t="s">
        <v>401</v>
      </c>
      <c r="K2" s="111" t="s">
        <v>401</v>
      </c>
    </row>
    <row r="3" spans="1:11" hidden="1" x14ac:dyDescent="0.2">
      <c r="A3" s="111" t="s">
        <v>401</v>
      </c>
      <c r="B3" s="111" t="s">
        <v>401</v>
      </c>
      <c r="C3" s="111" t="s">
        <v>401</v>
      </c>
      <c r="D3" s="111" t="s">
        <v>401</v>
      </c>
      <c r="E3" s="111" t="s">
        <v>401</v>
      </c>
      <c r="F3" s="111" t="s">
        <v>401</v>
      </c>
      <c r="G3" s="111" t="s">
        <v>401</v>
      </c>
      <c r="H3" s="111" t="s">
        <v>401</v>
      </c>
      <c r="I3" s="111" t="s">
        <v>401</v>
      </c>
      <c r="J3" s="111" t="s">
        <v>401</v>
      </c>
      <c r="K3" s="111" t="s">
        <v>401</v>
      </c>
    </row>
    <row r="4" spans="1:11" hidden="1" x14ac:dyDescent="0.2">
      <c r="A4" s="111" t="s">
        <v>401</v>
      </c>
      <c r="B4" s="111" t="s">
        <v>401</v>
      </c>
      <c r="C4" s="111" t="s">
        <v>401</v>
      </c>
      <c r="D4" s="111" t="s">
        <v>401</v>
      </c>
      <c r="E4" s="111" t="s">
        <v>401</v>
      </c>
      <c r="F4" s="111" t="s">
        <v>401</v>
      </c>
      <c r="G4" s="111" t="s">
        <v>401</v>
      </c>
      <c r="H4" s="111" t="s">
        <v>401</v>
      </c>
      <c r="I4" s="111" t="s">
        <v>401</v>
      </c>
      <c r="J4" s="111" t="s">
        <v>401</v>
      </c>
      <c r="K4" s="111" t="s">
        <v>401</v>
      </c>
    </row>
    <row r="5" spans="1:11" hidden="1" x14ac:dyDescent="0.2">
      <c r="A5" s="111" t="s">
        <v>401</v>
      </c>
      <c r="B5" s="111" t="s">
        <v>401</v>
      </c>
      <c r="C5" s="111" t="s">
        <v>401</v>
      </c>
      <c r="D5" s="111" t="s">
        <v>401</v>
      </c>
      <c r="E5" s="111" t="s">
        <v>401</v>
      </c>
      <c r="F5" s="111" t="s">
        <v>401</v>
      </c>
      <c r="G5" s="111" t="s">
        <v>401</v>
      </c>
      <c r="H5" s="111" t="s">
        <v>401</v>
      </c>
      <c r="I5" s="111" t="s">
        <v>401</v>
      </c>
      <c r="J5" s="111" t="s">
        <v>401</v>
      </c>
      <c r="K5" s="111" t="s">
        <v>401</v>
      </c>
    </row>
    <row r="6" spans="1:11" hidden="1" x14ac:dyDescent="0.2">
      <c r="A6" s="111" t="s">
        <v>401</v>
      </c>
      <c r="B6" s="111" t="s">
        <v>401</v>
      </c>
      <c r="C6" s="111" t="s">
        <v>401</v>
      </c>
      <c r="D6" s="111" t="s">
        <v>401</v>
      </c>
      <c r="E6" s="111" t="s">
        <v>401</v>
      </c>
      <c r="F6" s="111" t="s">
        <v>401</v>
      </c>
      <c r="G6" s="111" t="s">
        <v>401</v>
      </c>
      <c r="H6" s="111" t="s">
        <v>401</v>
      </c>
      <c r="I6" s="111" t="s">
        <v>401</v>
      </c>
      <c r="J6" s="111" t="s">
        <v>401</v>
      </c>
      <c r="K6" s="111" t="s">
        <v>401</v>
      </c>
    </row>
    <row r="7" spans="1:11" ht="117" customHeight="1" x14ac:dyDescent="0.2">
      <c r="A7" s="129" t="s">
        <v>189</v>
      </c>
      <c r="B7" s="129"/>
      <c r="C7" s="129"/>
      <c r="D7" s="129"/>
      <c r="E7" s="129"/>
      <c r="F7" s="129"/>
      <c r="G7" s="129"/>
      <c r="H7" s="130">
        <v>44759</v>
      </c>
      <c r="I7" s="130"/>
      <c r="J7" s="130"/>
      <c r="K7" s="130"/>
    </row>
    <row r="8" spans="1:11" ht="15" hidden="1" x14ac:dyDescent="0.2">
      <c r="A8" s="112" t="s">
        <v>401</v>
      </c>
      <c r="B8" s="113" t="s">
        <v>401</v>
      </c>
      <c r="C8" s="113" t="s">
        <v>401</v>
      </c>
      <c r="D8" s="113" t="s">
        <v>401</v>
      </c>
      <c r="E8" s="113" t="s">
        <v>401</v>
      </c>
      <c r="F8" s="113" t="s">
        <v>401</v>
      </c>
      <c r="G8" s="113" t="s">
        <v>401</v>
      </c>
      <c r="H8" s="112" t="s">
        <v>401</v>
      </c>
      <c r="I8" s="114" t="s">
        <v>401</v>
      </c>
      <c r="J8" s="111" t="s">
        <v>401</v>
      </c>
      <c r="K8" s="111" t="s">
        <v>401</v>
      </c>
    </row>
    <row r="9" spans="1:11" ht="28.5" customHeight="1" x14ac:dyDescent="0.2">
      <c r="A9" s="103" t="s">
        <v>182</v>
      </c>
      <c r="B9" s="103"/>
      <c r="C9" s="103"/>
      <c r="D9" s="103"/>
      <c r="E9" s="103"/>
      <c r="F9" s="103"/>
      <c r="G9" s="103"/>
      <c r="H9" s="103"/>
      <c r="I9" s="103"/>
      <c r="J9" s="103"/>
      <c r="K9" s="103"/>
    </row>
    <row r="10" spans="1:11" x14ac:dyDescent="0.2">
      <c r="A10" s="131" t="s">
        <v>190</v>
      </c>
      <c r="B10" s="131"/>
      <c r="C10" s="131"/>
      <c r="D10" s="131"/>
      <c r="E10" s="131"/>
      <c r="F10" s="131"/>
      <c r="G10" s="131"/>
      <c r="H10" s="131"/>
      <c r="I10" s="131"/>
      <c r="J10" s="131"/>
      <c r="K10" s="131"/>
    </row>
    <row r="11" spans="1:11" s="133" customFormat="1" ht="43.5" customHeight="1" x14ac:dyDescent="0.2">
      <c r="A11" s="132" t="str">
        <f>VLOOKUP("###LocalAuthorityName###", [1]AuctionDetails!A1:C29, 3)</f>
        <v>עמק הירדן - מועצה אזור</v>
      </c>
      <c r="B11" s="132" t="s">
        <v>401</v>
      </c>
      <c r="C11" s="132" t="s">
        <v>401</v>
      </c>
      <c r="D11" s="132" t="s">
        <v>401</v>
      </c>
      <c r="E11" s="132" t="s">
        <v>401</v>
      </c>
      <c r="F11" s="132" t="s">
        <v>401</v>
      </c>
      <c r="G11" s="132" t="s">
        <v>401</v>
      </c>
      <c r="H11" s="132" t="s">
        <v>401</v>
      </c>
      <c r="I11" s="132" t="s">
        <v>401</v>
      </c>
      <c r="J11" s="132" t="s">
        <v>401</v>
      </c>
      <c r="K11" s="132" t="s">
        <v>401</v>
      </c>
    </row>
    <row r="12" spans="1:11" hidden="1" x14ac:dyDescent="0.2">
      <c r="A12" s="117" t="s">
        <v>401</v>
      </c>
      <c r="B12" s="116" t="s">
        <v>401</v>
      </c>
      <c r="C12" s="116" t="s">
        <v>401</v>
      </c>
      <c r="D12" s="116" t="s">
        <v>401</v>
      </c>
      <c r="E12" s="116" t="s">
        <v>401</v>
      </c>
      <c r="F12" s="116" t="s">
        <v>401</v>
      </c>
      <c r="G12" s="116" t="s">
        <v>401</v>
      </c>
      <c r="H12" s="116" t="s">
        <v>401</v>
      </c>
      <c r="I12" s="116" t="s">
        <v>401</v>
      </c>
      <c r="J12" s="111" t="s">
        <v>401</v>
      </c>
      <c r="K12" s="111" t="s">
        <v>401</v>
      </c>
    </row>
    <row r="13" spans="1:11" ht="15" hidden="1" x14ac:dyDescent="0.2">
      <c r="A13" s="113" t="s">
        <v>401</v>
      </c>
      <c r="B13" s="118" t="s">
        <v>401</v>
      </c>
      <c r="C13" s="113" t="s">
        <v>401</v>
      </c>
      <c r="D13" s="113" t="s">
        <v>401</v>
      </c>
      <c r="E13" s="113" t="s">
        <v>401</v>
      </c>
      <c r="F13" s="113" t="s">
        <v>401</v>
      </c>
      <c r="G13" s="113" t="s">
        <v>401</v>
      </c>
      <c r="H13" s="113" t="s">
        <v>401</v>
      </c>
      <c r="I13" s="113" t="s">
        <v>401</v>
      </c>
      <c r="J13" s="111" t="s">
        <v>401</v>
      </c>
      <c r="K13" s="111" t="s">
        <v>401</v>
      </c>
    </row>
    <row r="14" spans="1:11" ht="48" customHeight="1" x14ac:dyDescent="0.2">
      <c r="A14" s="134" t="str">
        <f>VLOOKUP("###SUBJECT###",[1]AuctionDetails!I:J,2,0)</f>
        <v>הנדון: ריכוז הצעות מחיר למכרז למתן שירותי היסעים ושירותי הסעות של תלמידים - הס/3/2021</v>
      </c>
      <c r="B14" s="134"/>
      <c r="C14" s="134"/>
      <c r="D14" s="134"/>
      <c r="E14" s="134"/>
      <c r="F14" s="134"/>
      <c r="G14" s="134"/>
      <c r="H14" s="134"/>
      <c r="I14" s="134"/>
      <c r="J14" s="134"/>
      <c r="K14" s="134"/>
    </row>
    <row r="15" spans="1:11" ht="15" hidden="1" x14ac:dyDescent="0.2">
      <c r="A15" s="119" t="s">
        <v>401</v>
      </c>
      <c r="B15" s="115" t="s">
        <v>401</v>
      </c>
      <c r="C15" s="115" t="s">
        <v>401</v>
      </c>
      <c r="D15" s="115" t="s">
        <v>401</v>
      </c>
      <c r="E15" s="115" t="s">
        <v>401</v>
      </c>
      <c r="F15" s="115" t="s">
        <v>401</v>
      </c>
      <c r="G15" s="115" t="s">
        <v>401</v>
      </c>
      <c r="H15" s="115" t="s">
        <v>401</v>
      </c>
      <c r="I15" s="115" t="s">
        <v>401</v>
      </c>
      <c r="J15" s="111" t="s">
        <v>401</v>
      </c>
      <c r="K15" s="111" t="s">
        <v>401</v>
      </c>
    </row>
    <row r="16" spans="1:11" ht="18" hidden="1" x14ac:dyDescent="0.25">
      <c r="A16" s="112" t="s">
        <v>401</v>
      </c>
      <c r="B16" s="120" t="s">
        <v>401</v>
      </c>
      <c r="C16" s="120" t="s">
        <v>401</v>
      </c>
      <c r="D16" s="121" t="s">
        <v>401</v>
      </c>
      <c r="E16" s="111" t="s">
        <v>401</v>
      </c>
      <c r="F16" s="121" t="s">
        <v>401</v>
      </c>
      <c r="G16" s="120" t="s">
        <v>401</v>
      </c>
      <c r="H16" s="120" t="s">
        <v>401</v>
      </c>
      <c r="I16" s="120" t="s">
        <v>401</v>
      </c>
      <c r="J16" s="111" t="s">
        <v>401</v>
      </c>
      <c r="K16" s="111" t="s">
        <v>401</v>
      </c>
    </row>
    <row r="17" spans="1:11" ht="64.5" customHeight="1" x14ac:dyDescent="0.2">
      <c r="A17" s="43" t="s">
        <v>191</v>
      </c>
      <c r="B17" s="102" t="s">
        <v>192</v>
      </c>
      <c r="C17" s="102"/>
      <c r="D17" s="102"/>
      <c r="E17" s="102"/>
      <c r="F17" s="102"/>
      <c r="G17" s="102"/>
      <c r="H17" s="102"/>
      <c r="I17" s="102"/>
      <c r="J17" s="102"/>
      <c r="K17" s="102"/>
    </row>
    <row r="18" spans="1:11" hidden="1" x14ac:dyDescent="0.2">
      <c r="A18" s="122" t="s">
        <v>401</v>
      </c>
      <c r="B18" s="123" t="s">
        <v>401</v>
      </c>
      <c r="C18" s="112" t="s">
        <v>401</v>
      </c>
      <c r="D18" s="112" t="s">
        <v>401</v>
      </c>
      <c r="E18" s="112" t="s">
        <v>401</v>
      </c>
      <c r="F18" s="123" t="s">
        <v>401</v>
      </c>
      <c r="G18" s="112" t="s">
        <v>401</v>
      </c>
      <c r="H18" s="112" t="s">
        <v>401</v>
      </c>
      <c r="I18" s="112" t="s">
        <v>401</v>
      </c>
      <c r="J18" s="111" t="s">
        <v>401</v>
      </c>
      <c r="K18" s="111" t="s">
        <v>401</v>
      </c>
    </row>
    <row r="19" spans="1:11" s="133" customFormat="1" ht="28.5" customHeight="1" x14ac:dyDescent="0.2">
      <c r="A19" s="43" t="s">
        <v>193</v>
      </c>
      <c r="B19" s="136" t="s">
        <v>194</v>
      </c>
      <c r="C19" s="136"/>
      <c r="D19" s="136"/>
      <c r="E19" s="136"/>
      <c r="F19" s="136"/>
      <c r="G19" s="136"/>
      <c r="H19" s="136"/>
      <c r="I19" s="136"/>
      <c r="J19" s="136"/>
      <c r="K19" s="136"/>
    </row>
    <row r="20" spans="1:11" hidden="1" x14ac:dyDescent="0.2">
      <c r="A20" s="122" t="s">
        <v>401</v>
      </c>
      <c r="B20" s="123" t="s">
        <v>401</v>
      </c>
      <c r="C20" s="112" t="s">
        <v>401</v>
      </c>
      <c r="D20" s="112" t="s">
        <v>401</v>
      </c>
      <c r="E20" s="112" t="s">
        <v>401</v>
      </c>
      <c r="F20" s="123" t="s">
        <v>401</v>
      </c>
      <c r="G20" s="112" t="s">
        <v>401</v>
      </c>
      <c r="H20" s="112" t="s">
        <v>401</v>
      </c>
      <c r="I20" s="112" t="s">
        <v>401</v>
      </c>
      <c r="J20" s="111" t="s">
        <v>401</v>
      </c>
      <c r="K20" s="111" t="s">
        <v>401</v>
      </c>
    </row>
    <row r="21" spans="1:11" ht="59.25" customHeight="1" x14ac:dyDescent="0.2">
      <c r="A21" s="43" t="s">
        <v>195</v>
      </c>
      <c r="B21" s="102" t="str">
        <f>CONCATENATE(" המחירים המפורטים בטבלה כוללים מע''מ בשיעור של ",VLOOKUP("###VatValue###", [1]AuctionDetails!A1:C28, 3)," וכוללים עמלת החברה למשק וכלכלה בשיעור של ",VLOOKUP("###Commission###", [1]AuctionDetails!A2:C29, 3), "ככל שתמונה, כמפורט במסמכי המכרז.")</f>
        <v xml:space="preserve"> המחירים המפורטים בטבלה כוללים מע''מ בשיעור של 17% וכוללים עמלת החברה למשק וכלכלה בשיעור של 4.50%ככל שתמונה, כמפורט במסמכי המכרז.</v>
      </c>
      <c r="C21" s="102"/>
      <c r="D21" s="102"/>
      <c r="E21" s="102"/>
      <c r="F21" s="102"/>
      <c r="G21" s="102"/>
      <c r="H21" s="102"/>
      <c r="I21" s="102"/>
      <c r="J21" s="102"/>
      <c r="K21" s="102"/>
    </row>
    <row r="22" spans="1:11" hidden="1" x14ac:dyDescent="0.2">
      <c r="A22" s="122" t="s">
        <v>401</v>
      </c>
      <c r="B22" s="123" t="s">
        <v>401</v>
      </c>
      <c r="C22" s="124" t="s">
        <v>401</v>
      </c>
      <c r="D22" s="124" t="s">
        <v>401</v>
      </c>
      <c r="E22" s="124" t="s">
        <v>401</v>
      </c>
      <c r="F22" s="124" t="s">
        <v>401</v>
      </c>
      <c r="G22" s="124" t="s">
        <v>401</v>
      </c>
      <c r="H22" s="124" t="s">
        <v>401</v>
      </c>
      <c r="I22" s="124" t="s">
        <v>401</v>
      </c>
      <c r="J22" s="111" t="s">
        <v>401</v>
      </c>
      <c r="K22" s="111" t="s">
        <v>401</v>
      </c>
    </row>
    <row r="23" spans="1:11" ht="99.75" customHeight="1" x14ac:dyDescent="0.2">
      <c r="A23" s="43" t="s">
        <v>196</v>
      </c>
      <c r="B23" s="102" t="s">
        <v>383</v>
      </c>
      <c r="C23" s="102"/>
      <c r="D23" s="102"/>
      <c r="E23" s="102"/>
      <c r="F23" s="102"/>
      <c r="G23" s="102"/>
      <c r="H23" s="102"/>
      <c r="I23" s="102"/>
      <c r="J23" s="102"/>
      <c r="K23" s="102"/>
    </row>
    <row r="24" spans="1:11" hidden="1" x14ac:dyDescent="0.2">
      <c r="A24" s="112" t="s">
        <v>401</v>
      </c>
      <c r="B24" s="112" t="s">
        <v>401</v>
      </c>
      <c r="C24" s="112" t="s">
        <v>401</v>
      </c>
      <c r="D24" s="112" t="s">
        <v>401</v>
      </c>
      <c r="E24" s="112" t="s">
        <v>401</v>
      </c>
      <c r="F24" s="112" t="s">
        <v>401</v>
      </c>
      <c r="G24" s="112" t="s">
        <v>401</v>
      </c>
      <c r="H24" s="112" t="s">
        <v>401</v>
      </c>
      <c r="I24" s="112" t="s">
        <v>401</v>
      </c>
      <c r="J24" s="111" t="s">
        <v>401</v>
      </c>
      <c r="K24" s="111" t="s">
        <v>401</v>
      </c>
    </row>
    <row r="25" spans="1:11" x14ac:dyDescent="0.2">
      <c r="A25" s="44" t="s">
        <v>197</v>
      </c>
      <c r="B25" s="135" t="s">
        <v>382</v>
      </c>
      <c r="C25" s="135"/>
      <c r="D25" s="135"/>
      <c r="E25" s="135"/>
      <c r="F25" s="135"/>
      <c r="G25" s="138" t="s">
        <v>132</v>
      </c>
      <c r="H25" s="138"/>
      <c r="I25" s="138"/>
      <c r="J25" s="138"/>
      <c r="K25" s="138"/>
    </row>
    <row r="26" spans="1:11" s="133" customFormat="1" ht="30" customHeight="1" x14ac:dyDescent="0.2">
      <c r="A26" s="137" t="s">
        <v>401</v>
      </c>
      <c r="B26" s="136" t="str">
        <f>CONCATENATE(" בטל' "," ",VLOOKUP([1]Header!G25,[1]AuctionDetails!D:F,3,0)," "," או במייל "," ",VLOOKUP([1]Header!G25,[1]AuctionDetails!D:G,4,0),".")</f>
        <v xml:space="preserve"> בטל'  052-3212496  או במייל  Yotamm@mashcal.co.il.</v>
      </c>
      <c r="C26" s="136"/>
      <c r="D26" s="136"/>
      <c r="E26" s="136"/>
      <c r="F26" s="136"/>
      <c r="G26" s="136"/>
      <c r="H26" s="136"/>
      <c r="I26" s="136"/>
      <c r="J26" s="136"/>
      <c r="K26" s="136"/>
    </row>
    <row r="27" spans="1:11" hidden="1" x14ac:dyDescent="0.2">
      <c r="A27" s="122" t="s">
        <v>401</v>
      </c>
      <c r="B27" s="112" t="s">
        <v>401</v>
      </c>
      <c r="C27" s="112" t="s">
        <v>401</v>
      </c>
      <c r="D27" s="112" t="s">
        <v>401</v>
      </c>
      <c r="E27" s="112" t="s">
        <v>401</v>
      </c>
      <c r="F27" s="112" t="s">
        <v>401</v>
      </c>
      <c r="G27" s="112" t="s">
        <v>401</v>
      </c>
      <c r="H27" s="111" t="s">
        <v>401</v>
      </c>
      <c r="I27" s="112" t="s">
        <v>401</v>
      </c>
      <c r="J27" s="111" t="s">
        <v>401</v>
      </c>
      <c r="K27" s="111" t="s">
        <v>401</v>
      </c>
    </row>
    <row r="28" spans="1:11" x14ac:dyDescent="0.2">
      <c r="A28" s="44" t="s">
        <v>198</v>
      </c>
      <c r="B28" s="135" t="s">
        <v>199</v>
      </c>
      <c r="C28" s="135"/>
      <c r="D28" s="135"/>
      <c r="E28" s="135"/>
      <c r="F28" s="135"/>
      <c r="G28" s="135"/>
      <c r="H28" s="135"/>
      <c r="I28" s="135"/>
      <c r="J28" s="135"/>
      <c r="K28" s="135"/>
    </row>
    <row r="29" spans="1:11" s="133" customFormat="1" ht="30" customHeight="1" x14ac:dyDescent="0.2">
      <c r="A29" s="137" t="s">
        <v>401</v>
      </c>
      <c r="B29" s="136" t="s">
        <v>200</v>
      </c>
      <c r="C29" s="136"/>
      <c r="D29" s="136"/>
      <c r="E29" s="136"/>
      <c r="F29" s="136"/>
      <c r="G29" s="136"/>
      <c r="H29" s="136"/>
      <c r="I29" s="136"/>
      <c r="J29" s="136"/>
      <c r="K29" s="136"/>
    </row>
    <row r="30" spans="1:11" ht="15" hidden="1" x14ac:dyDescent="0.2">
      <c r="A30" s="125" t="s">
        <v>401</v>
      </c>
      <c r="B30" s="123" t="s">
        <v>401</v>
      </c>
      <c r="C30" s="126" t="s">
        <v>401</v>
      </c>
      <c r="D30" s="113" t="s">
        <v>401</v>
      </c>
      <c r="E30" s="113" t="s">
        <v>401</v>
      </c>
      <c r="F30" s="113" t="s">
        <v>401</v>
      </c>
      <c r="G30" s="113" t="s">
        <v>401</v>
      </c>
      <c r="H30" s="112" t="s">
        <v>401</v>
      </c>
      <c r="I30" s="112" t="s">
        <v>401</v>
      </c>
      <c r="J30" s="111" t="s">
        <v>401</v>
      </c>
      <c r="K30" s="111" t="s">
        <v>401</v>
      </c>
    </row>
    <row r="31" spans="1:11" s="133" customFormat="1" ht="44.25" customHeight="1" x14ac:dyDescent="0.2">
      <c r="A31" s="43" t="s">
        <v>201</v>
      </c>
      <c r="B31" s="136" t="str">
        <f>CONCATENATE(" מצורף אישור משרד הפנים למכרז הנדון המסתיים בתאריך "," ",VLOOKUP("###ExpirationDate###",[1]AuctionDetails!A:C,3,0),".")</f>
        <v xml:space="preserve"> מצורף אישור משרד הפנים למכרז הנדון המסתיים בתאריך  26/07/2022.</v>
      </c>
      <c r="C31" s="136"/>
      <c r="D31" s="136"/>
      <c r="E31" s="136"/>
      <c r="F31" s="136"/>
      <c r="G31" s="136"/>
      <c r="H31" s="136"/>
      <c r="I31" s="136"/>
      <c r="J31" s="136"/>
      <c r="K31" s="136"/>
    </row>
    <row r="32" spans="1:11" ht="15" hidden="1" x14ac:dyDescent="0.2">
      <c r="A32" s="112" t="s">
        <v>401</v>
      </c>
      <c r="B32" s="111" t="s">
        <v>401</v>
      </c>
      <c r="C32" s="126" t="s">
        <v>401</v>
      </c>
      <c r="D32" s="113" t="s">
        <v>401</v>
      </c>
      <c r="E32" s="113" t="s">
        <v>401</v>
      </c>
      <c r="F32" s="113" t="s">
        <v>401</v>
      </c>
      <c r="G32" s="113" t="s">
        <v>401</v>
      </c>
      <c r="H32" s="112" t="s">
        <v>401</v>
      </c>
      <c r="I32" s="112" t="s">
        <v>401</v>
      </c>
      <c r="J32" s="111" t="s">
        <v>401</v>
      </c>
      <c r="K32" s="111" t="s">
        <v>401</v>
      </c>
    </row>
    <row r="33" spans="1:11" hidden="1" x14ac:dyDescent="0.2">
      <c r="A33" s="116" t="s">
        <v>401</v>
      </c>
      <c r="B33" s="116" t="s">
        <v>401</v>
      </c>
      <c r="C33" s="127" t="s">
        <v>401</v>
      </c>
      <c r="D33" s="116" t="s">
        <v>401</v>
      </c>
      <c r="E33" s="116" t="s">
        <v>401</v>
      </c>
      <c r="F33" s="128" t="s">
        <v>401</v>
      </c>
      <c r="G33" s="128" t="s">
        <v>401</v>
      </c>
      <c r="H33" s="116" t="s">
        <v>401</v>
      </c>
      <c r="I33" s="116" t="s">
        <v>401</v>
      </c>
      <c r="J33" s="111" t="s">
        <v>401</v>
      </c>
      <c r="K33" s="111" t="s">
        <v>401</v>
      </c>
    </row>
    <row r="34" spans="1:11" ht="15" customHeight="1" x14ac:dyDescent="0.2">
      <c r="A34" s="140" t="s">
        <v>202</v>
      </c>
      <c r="B34" s="140"/>
      <c r="C34" s="140"/>
      <c r="D34" s="140"/>
      <c r="E34" s="140"/>
      <c r="F34" s="140"/>
      <c r="G34" s="140"/>
      <c r="H34" s="140"/>
      <c r="I34" s="140"/>
      <c r="J34" s="140"/>
      <c r="K34" s="140"/>
    </row>
    <row r="35" spans="1:11" ht="15" customHeight="1" x14ac:dyDescent="0.2">
      <c r="A35" s="141" t="s">
        <v>152</v>
      </c>
      <c r="B35" s="141"/>
      <c r="C35" s="141"/>
      <c r="D35" s="141"/>
      <c r="E35" s="141"/>
      <c r="F35" s="141"/>
      <c r="G35" s="141"/>
      <c r="H35" s="141"/>
      <c r="I35" s="141"/>
      <c r="J35" s="141"/>
      <c r="K35" s="141"/>
    </row>
    <row r="36" spans="1:11" s="133" customFormat="1" ht="39" customHeight="1" x14ac:dyDescent="0.2">
      <c r="A36" s="142" t="str">
        <f>VLOOKUP(A35,[1]AuctionDetails!D:E,2,0)</f>
        <v>ראש צוות/מחלקה</v>
      </c>
      <c r="B36" s="142"/>
      <c r="C36" s="142"/>
      <c r="D36" s="142"/>
      <c r="E36" s="142"/>
      <c r="F36" s="142"/>
      <c r="G36" s="142"/>
      <c r="H36" s="142"/>
      <c r="I36" s="142"/>
      <c r="J36" s="142"/>
      <c r="K36" s="142"/>
    </row>
    <row r="37" spans="1:11" hidden="1" x14ac:dyDescent="0.2">
      <c r="A37" s="139"/>
      <c r="B37" s="139"/>
      <c r="C37" s="139"/>
      <c r="D37" s="139"/>
      <c r="E37" s="139"/>
      <c r="F37" s="139"/>
      <c r="G37" s="111" t="s">
        <v>401</v>
      </c>
      <c r="H37" s="111" t="s">
        <v>401</v>
      </c>
      <c r="I37" s="111" t="s">
        <v>401</v>
      </c>
      <c r="J37" s="111" t="s">
        <v>401</v>
      </c>
      <c r="K37" s="111" t="s">
        <v>401</v>
      </c>
    </row>
    <row r="38" spans="1:11" hidden="1" x14ac:dyDescent="0.2">
      <c r="A38" s="139"/>
      <c r="B38" s="139"/>
      <c r="C38" s="139"/>
      <c r="D38" s="139"/>
      <c r="E38" s="139"/>
      <c r="F38" s="139"/>
      <c r="G38" s="111" t="s">
        <v>401</v>
      </c>
      <c r="H38" s="111" t="s">
        <v>401</v>
      </c>
      <c r="I38" s="111" t="s">
        <v>401</v>
      </c>
      <c r="J38" s="111" t="s">
        <v>401</v>
      </c>
      <c r="K38" s="111" t="s">
        <v>401</v>
      </c>
    </row>
    <row r="39" spans="1:11" x14ac:dyDescent="0.2">
      <c r="A39" s="143" t="s">
        <v>402</v>
      </c>
      <c r="B39" s="143"/>
      <c r="C39" s="143"/>
      <c r="D39" s="143"/>
      <c r="E39" s="143"/>
      <c r="F39" s="143"/>
      <c r="G39" s="143"/>
      <c r="H39" s="143"/>
      <c r="I39" s="143"/>
      <c r="J39" s="143"/>
      <c r="K39" s="143"/>
    </row>
    <row r="44" spans="1:11" ht="15" x14ac:dyDescent="0.25">
      <c r="A44" s="101" t="str">
        <f>VLOOKUP("###HeaderFooter###", [1]AuctionDetails!I2:J9, 2)</f>
        <v>BidCal Report 30/08/2021 11:07</v>
      </c>
      <c r="B44" s="101"/>
      <c r="C44" s="101"/>
      <c r="D44" s="101"/>
      <c r="E44" s="101"/>
      <c r="F44" s="101"/>
      <c r="G44" s="101"/>
      <c r="H44" s="101"/>
      <c r="I44" s="45"/>
    </row>
  </sheetData>
  <mergeCells count="21">
    <mergeCell ref="A36:K36"/>
    <mergeCell ref="A35:K35"/>
    <mergeCell ref="A39:K39"/>
    <mergeCell ref="B31:K31"/>
    <mergeCell ref="A34:K34"/>
    <mergeCell ref="A11:K11"/>
    <mergeCell ref="A14:K14"/>
    <mergeCell ref="B17:K17"/>
    <mergeCell ref="B19:K19"/>
    <mergeCell ref="B21:K21"/>
    <mergeCell ref="A7:G7"/>
    <mergeCell ref="H7:K7"/>
    <mergeCell ref="A9:K9"/>
    <mergeCell ref="A10:K10"/>
    <mergeCell ref="A44:H44"/>
    <mergeCell ref="B23:K23"/>
    <mergeCell ref="B25:F25"/>
    <mergeCell ref="G25:K25"/>
    <mergeCell ref="B26:K26"/>
    <mergeCell ref="B28:K28"/>
    <mergeCell ref="B29:K29"/>
  </mergeCells>
  <pageMargins left="0.7" right="0.7" top="0.75" bottom="0.75" header="0.3" footer="0.3"/>
  <pageSetup paperSize="9" scale="78" orientation="portrait" r:id="rId1"/>
  <headerFooter>
    <oddHeader>&amp;C&amp;G</oddHeader>
    <oddFooter>&amp;R&amp;"Tahoma,Regular"&amp;10רח' הארבעה 19, תל אביב 67133 ת.ד. 20054 טל' 03-6235274, 03-5618659, www.mashcal.co.il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pageSetUpPr fitToPage="1"/>
  </sheetPr>
  <dimension ref="A1:AY53"/>
  <sheetViews>
    <sheetView rightToLeft="1" view="pageBreakPreview" topLeftCell="E1" zoomScale="55" zoomScaleNormal="85" zoomScaleSheetLayoutView="55" workbookViewId="0">
      <selection activeCell="AA50" sqref="AA50"/>
    </sheetView>
  </sheetViews>
  <sheetFormatPr defaultColWidth="9" defaultRowHeight="25.5" x14ac:dyDescent="0.35"/>
  <cols>
    <col min="1" max="1" width="15.875" style="41" customWidth="1"/>
    <col min="2" max="2" width="24.375" style="41" customWidth="1"/>
    <col min="3" max="3" width="15" style="41" customWidth="1"/>
    <col min="4" max="4" width="50.25" style="41" customWidth="1"/>
    <col min="5" max="5" width="20" style="41" customWidth="1"/>
    <col min="6" max="6" width="33.375" style="41" customWidth="1"/>
    <col min="7" max="7" width="17" style="41" customWidth="1"/>
    <col min="8" max="8" width="15" style="41" customWidth="1"/>
    <col min="9" max="9" width="23.625" style="41" customWidth="1"/>
    <col min="10" max="10" width="6.625" style="41" hidden="1" customWidth="1"/>
    <col min="11" max="11" width="13" style="41" hidden="1" customWidth="1"/>
    <col min="12" max="12" width="17.25" style="41" customWidth="1"/>
    <col min="13" max="13" width="24.375" style="41" customWidth="1"/>
    <col min="14" max="14" width="20" style="41" customWidth="1"/>
    <col min="15" max="15" width="23.375" style="41" customWidth="1"/>
    <col min="16" max="16" width="19.125" style="41" customWidth="1"/>
    <col min="17" max="17" width="21.375" style="41" customWidth="1"/>
    <col min="18" max="21" width="6.625" style="41" hidden="1" customWidth="1"/>
    <col min="22" max="22" width="14.25" style="41" hidden="1" customWidth="1"/>
    <col min="23" max="23" width="13" style="41" hidden="1" customWidth="1"/>
    <col min="24" max="24" width="14.75" style="41" customWidth="1"/>
    <col min="25" max="25" width="33.625" style="95" customWidth="1"/>
    <col min="26" max="26" width="24.125" style="98" customWidth="1"/>
    <col min="27" max="27" width="13" style="41" customWidth="1"/>
    <col min="28" max="28" width="19.5" style="77" hidden="1" customWidth="1"/>
    <col min="29" max="29" width="13" style="41" hidden="1" customWidth="1"/>
    <col min="30" max="30" width="19.5" style="77" hidden="1" customWidth="1"/>
    <col min="31" max="31" width="13" style="41" hidden="1" customWidth="1"/>
    <col min="32" max="32" width="19.5" style="77" hidden="1" customWidth="1"/>
    <col min="33" max="33" width="13" style="41" hidden="1" customWidth="1"/>
    <col min="34" max="34" width="19.5" style="77" hidden="1" customWidth="1"/>
    <col min="35" max="36" width="13" style="41" hidden="1" customWidth="1"/>
    <col min="37" max="37" width="19.5" style="77" hidden="1" customWidth="1"/>
    <col min="38" max="38" width="13" style="41" hidden="1" customWidth="1"/>
    <col min="39" max="39" width="19.5" style="77" hidden="1" customWidth="1"/>
    <col min="40" max="42" width="13" style="41" hidden="1" customWidth="1"/>
    <col min="43" max="43" width="19.5" style="77" hidden="1" customWidth="1"/>
    <col min="44" max="44" width="13" style="41" hidden="1" customWidth="1"/>
    <col min="45" max="45" width="19.5" style="77" hidden="1" customWidth="1"/>
    <col min="46" max="46" width="13" style="41" hidden="1" customWidth="1"/>
    <col min="47" max="47" width="13" style="41" customWidth="1"/>
    <col min="48" max="48" width="19.5" style="77" hidden="1" customWidth="1"/>
    <col min="49" max="49" width="13" style="41" hidden="1" customWidth="1"/>
    <col min="50" max="50" width="19.5" style="77" hidden="1" customWidth="1"/>
    <col min="51" max="51" width="25" style="46" hidden="1" customWidth="1"/>
    <col min="52" max="52" width="13.625" style="41" customWidth="1"/>
    <col min="53" max="16384" width="9" style="41"/>
  </cols>
  <sheetData>
    <row r="1" spans="1:51" ht="73.5" customHeight="1" thickBot="1" x14ac:dyDescent="0.4">
      <c r="A1" s="154" t="str">
        <f>CONCATENATE(AuctionDetails!J8,"     ",AuctionDetails!J7,"       ",AuctionDetails!J6)</f>
        <v>רשות:  עמק הירדן - מועצה אזורית     אזור:  הס/03/2021 - כנרת       מס' נוהל:  A-408108-21-22865</v>
      </c>
      <c r="B1" s="154"/>
      <c r="C1" s="154"/>
      <c r="D1" s="154"/>
      <c r="E1" s="154"/>
      <c r="F1" s="154"/>
      <c r="G1" s="154"/>
      <c r="H1" s="154"/>
      <c r="I1" s="154"/>
      <c r="J1" s="154"/>
      <c r="K1" s="154"/>
      <c r="L1" s="154"/>
      <c r="M1" s="154"/>
      <c r="N1" s="154"/>
      <c r="O1" s="154"/>
      <c r="P1" s="154"/>
      <c r="Q1" s="154"/>
      <c r="R1" s="144" t="s">
        <v>401</v>
      </c>
      <c r="S1" s="144" t="s">
        <v>401</v>
      </c>
      <c r="T1" s="144" t="s">
        <v>401</v>
      </c>
      <c r="U1" s="144" t="s">
        <v>401</v>
      </c>
      <c r="V1" s="144" t="s">
        <v>401</v>
      </c>
      <c r="W1" s="187" t="s">
        <v>418</v>
      </c>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6" t="s">
        <v>205</v>
      </c>
    </row>
    <row r="2" spans="1:51" ht="96" customHeight="1" thickBot="1" x14ac:dyDescent="0.4">
      <c r="A2" s="159" t="s">
        <v>206</v>
      </c>
      <c r="B2" s="160" t="s">
        <v>207</v>
      </c>
      <c r="C2" s="160" t="s">
        <v>208</v>
      </c>
      <c r="D2" s="160" t="s">
        <v>209</v>
      </c>
      <c r="E2" s="160" t="s">
        <v>210</v>
      </c>
      <c r="F2" s="160" t="s">
        <v>211</v>
      </c>
      <c r="G2" s="160" t="s">
        <v>212</v>
      </c>
      <c r="H2" s="160" t="s">
        <v>213</v>
      </c>
      <c r="I2" s="160" t="s">
        <v>214</v>
      </c>
      <c r="J2" s="160" t="s">
        <v>215</v>
      </c>
      <c r="K2" s="160" t="s">
        <v>216</v>
      </c>
      <c r="L2" s="160" t="s">
        <v>217</v>
      </c>
      <c r="M2" s="160" t="s">
        <v>218</v>
      </c>
      <c r="N2" s="160" t="s">
        <v>219</v>
      </c>
      <c r="O2" s="160" t="s">
        <v>220</v>
      </c>
      <c r="P2" s="160" t="s">
        <v>221</v>
      </c>
      <c r="Q2" s="160" t="s">
        <v>222</v>
      </c>
      <c r="R2" s="160" t="s">
        <v>223</v>
      </c>
      <c r="S2" s="160" t="s">
        <v>224</v>
      </c>
      <c r="T2" s="160" t="s">
        <v>225</v>
      </c>
      <c r="U2" s="160" t="s">
        <v>226</v>
      </c>
      <c r="V2" s="161" t="s">
        <v>227</v>
      </c>
      <c r="W2" s="162" t="s">
        <v>228</v>
      </c>
      <c r="X2" s="163" t="s">
        <v>386</v>
      </c>
      <c r="Y2" s="164" t="s">
        <v>387</v>
      </c>
      <c r="Z2" s="165" t="s">
        <v>388</v>
      </c>
      <c r="AA2" s="163" t="s">
        <v>389</v>
      </c>
      <c r="AB2" s="166" t="s">
        <v>229</v>
      </c>
      <c r="AC2" s="162" t="s">
        <v>230</v>
      </c>
      <c r="AD2" s="167" t="s">
        <v>231</v>
      </c>
      <c r="AE2" s="162" t="s">
        <v>403</v>
      </c>
      <c r="AF2" s="166" t="s">
        <v>404</v>
      </c>
      <c r="AG2" s="162" t="s">
        <v>405</v>
      </c>
      <c r="AH2" s="167" t="s">
        <v>406</v>
      </c>
      <c r="AI2" s="162" t="s">
        <v>407</v>
      </c>
      <c r="AJ2" s="168" t="s">
        <v>401</v>
      </c>
      <c r="AK2" s="166" t="s">
        <v>408</v>
      </c>
      <c r="AL2" s="162" t="s">
        <v>409</v>
      </c>
      <c r="AM2" s="167" t="s">
        <v>410</v>
      </c>
      <c r="AN2" s="162" t="s">
        <v>411</v>
      </c>
      <c r="AO2" s="168" t="s">
        <v>412</v>
      </c>
      <c r="AP2" s="168" t="s">
        <v>413</v>
      </c>
      <c r="AQ2" s="166" t="s">
        <v>414</v>
      </c>
      <c r="AR2" s="162" t="s">
        <v>415</v>
      </c>
      <c r="AS2" s="167" t="s">
        <v>416</v>
      </c>
      <c r="AT2" s="162" t="s">
        <v>417</v>
      </c>
      <c r="AU2" s="169" t="s">
        <v>398</v>
      </c>
      <c r="AV2" s="166" t="s">
        <v>229</v>
      </c>
      <c r="AW2" s="162" t="s">
        <v>230</v>
      </c>
      <c r="AX2" s="167" t="s">
        <v>231</v>
      </c>
      <c r="AY2" s="49"/>
    </row>
    <row r="3" spans="1:51" s="54" customFormat="1" ht="58.5" customHeight="1" thickBot="1" x14ac:dyDescent="0.4">
      <c r="A3" s="100" t="s">
        <v>233</v>
      </c>
      <c r="B3" s="182" t="s">
        <v>401</v>
      </c>
      <c r="C3" s="182" t="s">
        <v>401</v>
      </c>
      <c r="D3" s="182" t="s">
        <v>401</v>
      </c>
      <c r="E3" s="182" t="s">
        <v>401</v>
      </c>
      <c r="F3" s="182" t="s">
        <v>401</v>
      </c>
      <c r="G3" s="182" t="s">
        <v>401</v>
      </c>
      <c r="H3" s="182" t="s">
        <v>401</v>
      </c>
      <c r="I3" s="182" t="s">
        <v>401</v>
      </c>
      <c r="J3" s="182" t="s">
        <v>401</v>
      </c>
      <c r="K3" s="182" t="s">
        <v>401</v>
      </c>
      <c r="L3" s="182" t="s">
        <v>401</v>
      </c>
      <c r="M3" s="182" t="s">
        <v>401</v>
      </c>
      <c r="N3" s="182" t="s">
        <v>401</v>
      </c>
      <c r="O3" s="182" t="s">
        <v>401</v>
      </c>
      <c r="P3" s="182" t="s">
        <v>401</v>
      </c>
      <c r="Q3" s="182" t="s">
        <v>401</v>
      </c>
      <c r="R3" s="182" t="s">
        <v>401</v>
      </c>
      <c r="S3" s="182" t="s">
        <v>401</v>
      </c>
      <c r="T3" s="182" t="s">
        <v>401</v>
      </c>
      <c r="U3" s="182" t="s">
        <v>401</v>
      </c>
      <c r="V3" s="183" t="s">
        <v>401</v>
      </c>
      <c r="W3" s="51" t="s">
        <v>234</v>
      </c>
      <c r="X3" s="145" t="s">
        <v>401</v>
      </c>
      <c r="Y3" s="188" t="s">
        <v>401</v>
      </c>
      <c r="Z3" s="191" t="s">
        <v>401</v>
      </c>
      <c r="AA3" s="145" t="s">
        <v>401</v>
      </c>
      <c r="AB3" s="74" t="s">
        <v>234</v>
      </c>
      <c r="AC3" s="51" t="s">
        <v>234</v>
      </c>
      <c r="AD3" s="80" t="s">
        <v>234</v>
      </c>
      <c r="AE3" s="51">
        <f>235127.2*VLOOKUP(50427,StageData!A2:H24,7,FALSE)*VLOOKUP(50427,StageData!A2:H24,8,FALSE)</f>
        <v>287478.27107999998</v>
      </c>
      <c r="AF3" s="146" t="s">
        <v>401</v>
      </c>
      <c r="AG3" s="51">
        <f>SUMIFS(AG4:AG5,R4:R5,"כן")</f>
        <v>6895.7459999999992</v>
      </c>
      <c r="AH3" s="80">
        <f>SUMIFS(AH4:AH5,R4:R5,"כן")</f>
        <v>252844.02</v>
      </c>
      <c r="AI3" s="51">
        <f>231739.2*VLOOKUP(50424,StageData!A2:H24,7,FALSE)*VLOOKUP(50424,StageData!A2:H24,8,FALSE)</f>
        <v>283335.93287999998</v>
      </c>
      <c r="AJ3" s="145" t="s">
        <v>401</v>
      </c>
      <c r="AK3" s="146" t="s">
        <v>401</v>
      </c>
      <c r="AL3" s="51">
        <f>SUMIFS(AL4:AL5,R4:R5,"כן")</f>
        <v>7702.6949999999988</v>
      </c>
      <c r="AM3" s="80">
        <f>SUMIFS(AM4:AM5,R4:R5,"כן")</f>
        <v>282432.14999999997</v>
      </c>
      <c r="AN3" s="51">
        <f>223269.2*VLOOKUP(50423,StageData!A2:H24,7,FALSE)*VLOOKUP(50423,StageData!A2:H24,8,FALSE)</f>
        <v>272980.08737999998</v>
      </c>
      <c r="AO3" s="145" t="s">
        <v>401</v>
      </c>
      <c r="AP3" s="145" t="s">
        <v>401</v>
      </c>
      <c r="AQ3" s="147" t="s">
        <v>401</v>
      </c>
      <c r="AR3" s="52">
        <f>SUMIFS(AR4:AR5,R4:R5,"כן")</f>
        <v>4357.5245999999997</v>
      </c>
      <c r="AS3" s="82">
        <f>SUMIFS(AS4:AS5,R4:R5,"כן")</f>
        <v>159775.90199999997</v>
      </c>
      <c r="AT3" s="51">
        <f>234933.6*VLOOKUP(50425,StageData!A2:H24,7,FALSE)*VLOOKUP(50425,StageData!A2:H24,8,FALSE)</f>
        <v>287241.56603999995</v>
      </c>
      <c r="AU3" s="156" t="s">
        <v>401</v>
      </c>
      <c r="AV3" s="146" t="s">
        <v>401</v>
      </c>
      <c r="AW3" s="51">
        <f>SUMIFS(AW4:AW5,R4:R5,"כן")</f>
        <v>7482.6179999999995</v>
      </c>
      <c r="AX3" s="80">
        <f>SUMIFS(AX4:AX5,R4:R5,"כן")</f>
        <v>274362.65999999997</v>
      </c>
      <c r="AY3" s="53" t="s">
        <v>7</v>
      </c>
    </row>
    <row r="4" spans="1:51" ht="108" customHeight="1" thickBot="1" x14ac:dyDescent="0.4">
      <c r="A4" s="155" t="s">
        <v>235</v>
      </c>
      <c r="B4" s="55" t="s">
        <v>236</v>
      </c>
      <c r="C4" s="55" t="str">
        <f>VLOOKUP(3,LT!A1:E14,2,FALSE)</f>
        <v>חינוך רגיל</v>
      </c>
      <c r="D4" s="56" t="s">
        <v>237</v>
      </c>
      <c r="E4" s="55" t="s">
        <v>238</v>
      </c>
      <c r="F4" s="56" t="s">
        <v>380</v>
      </c>
      <c r="G4" s="55">
        <v>30</v>
      </c>
      <c r="H4" s="55">
        <v>60</v>
      </c>
      <c r="I4" s="55">
        <v>10</v>
      </c>
      <c r="J4" s="55">
        <v>0</v>
      </c>
      <c r="K4" s="57">
        <f>0*(VLOOKUP("###VatValue###",AuctionDetails!A1:C28,2,FALSE)+1)*(VLOOKUP("###Commission###",AuctionDetails!A1:C28,2,FALSE)+1)</f>
        <v>0</v>
      </c>
      <c r="L4" s="55">
        <v>1</v>
      </c>
      <c r="M4" s="55">
        <v>1</v>
      </c>
      <c r="N4" s="55">
        <v>4</v>
      </c>
      <c r="O4" s="55">
        <v>2</v>
      </c>
      <c r="P4" s="55">
        <v>4</v>
      </c>
      <c r="Q4" s="55">
        <v>0</v>
      </c>
      <c r="R4" s="55" t="s">
        <v>8</v>
      </c>
      <c r="S4" s="148" t="s">
        <v>401</v>
      </c>
      <c r="T4" s="57">
        <f>0*(VLOOKUP("###VatValue###",AuctionDetails!A1:C28,2,FALSE)+1)*(VLOOKUP("###Commission###",AuctionDetails!A1:C28,2,FALSE)+1)</f>
        <v>0</v>
      </c>
      <c r="U4" s="148" t="s">
        <v>401</v>
      </c>
      <c r="V4" s="58">
        <v>440</v>
      </c>
      <c r="W4" s="59" t="s">
        <v>234</v>
      </c>
      <c r="X4" s="88" t="s">
        <v>390</v>
      </c>
      <c r="Y4" s="93">
        <f>AQ4/1.17</f>
        <v>134.80499999999998</v>
      </c>
      <c r="Z4" s="96">
        <v>57.9</v>
      </c>
      <c r="AA4" s="149" t="s">
        <v>401</v>
      </c>
      <c r="AB4" s="88" t="s">
        <v>234</v>
      </c>
      <c r="AC4" s="88" t="s">
        <v>234</v>
      </c>
      <c r="AD4" s="88" t="s">
        <v>234</v>
      </c>
      <c r="AE4" s="88">
        <f>238.8*VLOOKUP(50427,StageData!A2:H24,7,FALSE)*VLOOKUP(50427,StageData!A2:H24,8,FALSE)</f>
        <v>291.96881999999999</v>
      </c>
      <c r="AF4" s="88">
        <f>235*VLOOKUP(50427,StageData!A2:H24,7,FALSE)*VLOOKUP(50427,StageData!A2:H24,8,FALSE)</f>
        <v>287.32274999999998</v>
      </c>
      <c r="AG4" s="88">
        <f>((P4*O4)+(N4*M4))*L4*(K4+AF4)</f>
        <v>3447.8729999999996</v>
      </c>
      <c r="AH4" s="88">
        <f>(K4+AF4)*L4*V4</f>
        <v>126422.01</v>
      </c>
      <c r="AI4" s="88">
        <f>235.4*VLOOKUP(50424,StageData!A2:H24,7,FALSE)*VLOOKUP(50424,StageData!A2:H24,8,FALSE)</f>
        <v>287.81180999999998</v>
      </c>
      <c r="AJ4" s="149" t="s">
        <v>401</v>
      </c>
      <c r="AK4" s="88">
        <f>235*VLOOKUP(50424,StageData!A2:H24,7,FALSE)*VLOOKUP(50424,StageData!A2:H24,8,FALSE)</f>
        <v>287.32274999999998</v>
      </c>
      <c r="AL4" s="88">
        <f>((P4*O4)+(N4*M4))*L4*(K4+AK4)</f>
        <v>3447.8729999999996</v>
      </c>
      <c r="AM4" s="88">
        <f>(K4+AK4)*L4*V4</f>
        <v>126422.01</v>
      </c>
      <c r="AN4" s="88">
        <f>226.9*VLOOKUP(50423,StageData!A2:H24,7,FALSE)*VLOOKUP(50423,StageData!A2:H24,8,FALSE)</f>
        <v>277.419285</v>
      </c>
      <c r="AO4" s="149" t="s">
        <v>401</v>
      </c>
      <c r="AP4" s="88">
        <v>67.274999999999991</v>
      </c>
      <c r="AQ4" s="88">
        <f>129*VLOOKUP(50423,StageData!A2:H24,7,FALSE)*VLOOKUP(50423,StageData!A2:H24,8,FALSE)</f>
        <v>157.72184999999996</v>
      </c>
      <c r="AR4" s="88">
        <f>((P4*O4)+(N4*M4))*L4*(K4+AQ4)</f>
        <v>1892.6621999999995</v>
      </c>
      <c r="AS4" s="88">
        <f>(K4+AQ4)*L4*V4</f>
        <v>69397.613999999987</v>
      </c>
      <c r="AT4" s="88">
        <f>238.6*VLOOKUP(50425,StageData!A2:H24,7,FALSE)*VLOOKUP(50425,StageData!A2:H24,8,FALSE)</f>
        <v>291.72429</v>
      </c>
      <c r="AU4" s="157">
        <f>Y4-Z4</f>
        <v>76.904999999999973</v>
      </c>
      <c r="AV4" s="75">
        <f>230*VLOOKUP(50425,StageData!A2:H24,7,FALSE)*VLOOKUP(50425,StageData!A2:H24,8,FALSE)</f>
        <v>281.20949999999999</v>
      </c>
      <c r="AW4" s="59">
        <f>((P4*O4)+(N4*M4))*L4*(K4+AV4)</f>
        <v>3374.5140000000001</v>
      </c>
      <c r="AX4" s="81">
        <f>(K4+AV4)*L4*V4</f>
        <v>123732.18</v>
      </c>
      <c r="AY4" s="62"/>
    </row>
    <row r="5" spans="1:51" ht="108" customHeight="1" thickBot="1" x14ac:dyDescent="0.4">
      <c r="A5" s="155" t="s">
        <v>240</v>
      </c>
      <c r="B5" s="55" t="s">
        <v>241</v>
      </c>
      <c r="C5" s="55" t="str">
        <f>VLOOKUP(3,LT!A1:E14,2,FALSE)</f>
        <v>חינוך רגיל</v>
      </c>
      <c r="D5" s="56" t="s">
        <v>237</v>
      </c>
      <c r="E5" s="55" t="s">
        <v>242</v>
      </c>
      <c r="F5" s="56" t="s">
        <v>381</v>
      </c>
      <c r="G5" s="55">
        <v>30</v>
      </c>
      <c r="H5" s="55">
        <v>60</v>
      </c>
      <c r="I5" s="55">
        <v>16</v>
      </c>
      <c r="J5" s="55">
        <v>0</v>
      </c>
      <c r="K5" s="57">
        <f>0*(VLOOKUP("###VatValue###",AuctionDetails!A1:C28,2,FALSE)+1)*(VLOOKUP("###Commission###",AuctionDetails!A1:C28,2,FALSE)+1)</f>
        <v>0</v>
      </c>
      <c r="L5" s="55">
        <v>1</v>
      </c>
      <c r="M5" s="55">
        <v>1</v>
      </c>
      <c r="N5" s="55">
        <v>4</v>
      </c>
      <c r="O5" s="55">
        <v>2</v>
      </c>
      <c r="P5" s="55">
        <v>4</v>
      </c>
      <c r="Q5" s="55">
        <v>0</v>
      </c>
      <c r="R5" s="55" t="s">
        <v>8</v>
      </c>
      <c r="S5" s="148" t="s">
        <v>401</v>
      </c>
      <c r="T5" s="57">
        <f>0*(VLOOKUP("###VatValue###",AuctionDetails!A1:C28,2,FALSE)+1)*(VLOOKUP("###Commission###",AuctionDetails!A1:C28,2,FALSE)+1)</f>
        <v>0</v>
      </c>
      <c r="U5" s="148" t="s">
        <v>401</v>
      </c>
      <c r="V5" s="58">
        <v>440</v>
      </c>
      <c r="W5" s="59" t="s">
        <v>234</v>
      </c>
      <c r="X5" s="88" t="s">
        <v>390</v>
      </c>
      <c r="Y5" s="93">
        <f>AQ5/1.17</f>
        <v>175.56</v>
      </c>
      <c r="Z5" s="96">
        <v>211.9</v>
      </c>
      <c r="AA5" s="88" t="s">
        <v>395</v>
      </c>
      <c r="AB5" s="88" t="s">
        <v>234</v>
      </c>
      <c r="AC5" s="88" t="s">
        <v>234</v>
      </c>
      <c r="AD5" s="88" t="s">
        <v>234</v>
      </c>
      <c r="AE5" s="88">
        <f>295.6*VLOOKUP(50427,StageData!A2:H24,7,FALSE)*VLOOKUP(50427,StageData!A2:H24,8,FALSE)</f>
        <v>361.41533999999996</v>
      </c>
      <c r="AF5" s="88">
        <f>235*VLOOKUP(50427,StageData!A2:H24,7,FALSE)*VLOOKUP(50427,StageData!A2:H24,8,FALSE)</f>
        <v>287.32274999999998</v>
      </c>
      <c r="AG5" s="88">
        <f>((P5*O5)+(N5*M5))*L5*(K5+AF5)</f>
        <v>3447.8729999999996</v>
      </c>
      <c r="AH5" s="88">
        <f>(K5+AF5)*L5*V5</f>
        <v>126422.01</v>
      </c>
      <c r="AI5" s="88">
        <f>291.3*VLOOKUP(50424,StageData!A2:H24,7,FALSE)*VLOOKUP(50424,StageData!A2:H24,8,FALSE)</f>
        <v>356.15794499999998</v>
      </c>
      <c r="AJ5" s="149" t="s">
        <v>401</v>
      </c>
      <c r="AK5" s="88">
        <f>290*VLOOKUP(50424,StageData!A2:H24,7,FALSE)*VLOOKUP(50424,StageData!A2:H24,8,FALSE)</f>
        <v>354.56849999999991</v>
      </c>
      <c r="AL5" s="88">
        <f>((P5*O5)+(N5*M5))*L5*(K5+AK5)</f>
        <v>4254.8219999999992</v>
      </c>
      <c r="AM5" s="88">
        <f>(K5+AK5)*L5*V5</f>
        <v>156010.13999999996</v>
      </c>
      <c r="AN5" s="88">
        <f>280.5*VLOOKUP(50423,StageData!A2:H24,7,FALSE)*VLOOKUP(50423,StageData!A2:H24,8,FALSE)</f>
        <v>342.95332500000001</v>
      </c>
      <c r="AO5" s="88" t="s">
        <v>385</v>
      </c>
      <c r="AP5" s="88">
        <v>139.34699999999998</v>
      </c>
      <c r="AQ5" s="88">
        <f>168*VLOOKUP(50423,StageData!A2:H24,7,FALSE)*VLOOKUP(50423,StageData!A2:H24,8,FALSE)</f>
        <v>205.40519999999998</v>
      </c>
      <c r="AR5" s="88">
        <f>((P5*O5)+(N5*M5))*L5*(K5+AQ5)</f>
        <v>2464.8624</v>
      </c>
      <c r="AS5" s="88">
        <f>(K5+AQ5)*L5*V5</f>
        <v>90378.287999999986</v>
      </c>
      <c r="AT5" s="88">
        <f>295.3*VLOOKUP(50425,StageData!A2:H24,7,FALSE)*VLOOKUP(50425,StageData!A2:H24,8,FALSE)</f>
        <v>361.04854499999999</v>
      </c>
      <c r="AU5" s="157">
        <f t="shared" ref="AU5:AU41" si="0">Y5-Z5</f>
        <v>-36.340000000000003</v>
      </c>
      <c r="AV5" s="75">
        <f>280*VLOOKUP(50425,StageData!A2:H24,7,FALSE)*VLOOKUP(50425,StageData!A2:H24,8,FALSE)</f>
        <v>342.34199999999993</v>
      </c>
      <c r="AW5" s="59">
        <f>((P5*O5)+(N5*M5))*L5*(K5+AV5)</f>
        <v>4108.1039999999994</v>
      </c>
      <c r="AX5" s="81">
        <f>(K5+AV5)*L5*V5</f>
        <v>150630.47999999998</v>
      </c>
      <c r="AY5" s="62"/>
    </row>
    <row r="6" spans="1:51" s="54" customFormat="1" ht="58.5" customHeight="1" thickBot="1" x14ac:dyDescent="0.4">
      <c r="A6" s="99" t="s">
        <v>243</v>
      </c>
      <c r="B6" s="184" t="s">
        <v>401</v>
      </c>
      <c r="C6" s="184" t="s">
        <v>401</v>
      </c>
      <c r="D6" s="184" t="s">
        <v>401</v>
      </c>
      <c r="E6" s="184" t="s">
        <v>401</v>
      </c>
      <c r="F6" s="184" t="s">
        <v>401</v>
      </c>
      <c r="G6" s="184" t="s">
        <v>401</v>
      </c>
      <c r="H6" s="184" t="s">
        <v>401</v>
      </c>
      <c r="I6" s="184" t="s">
        <v>401</v>
      </c>
      <c r="J6" s="184" t="s">
        <v>401</v>
      </c>
      <c r="K6" s="184" t="s">
        <v>401</v>
      </c>
      <c r="L6" s="184" t="s">
        <v>401</v>
      </c>
      <c r="M6" s="184" t="s">
        <v>401</v>
      </c>
      <c r="N6" s="184" t="s">
        <v>401</v>
      </c>
      <c r="O6" s="184" t="s">
        <v>401</v>
      </c>
      <c r="P6" s="184" t="s">
        <v>401</v>
      </c>
      <c r="Q6" s="184" t="s">
        <v>401</v>
      </c>
      <c r="R6" s="184" t="s">
        <v>401</v>
      </c>
      <c r="S6" s="184" t="s">
        <v>401</v>
      </c>
      <c r="T6" s="184" t="s">
        <v>401</v>
      </c>
      <c r="U6" s="184" t="s">
        <v>401</v>
      </c>
      <c r="V6" s="185" t="s">
        <v>401</v>
      </c>
      <c r="W6" s="51" t="s">
        <v>234</v>
      </c>
      <c r="X6" s="145" t="s">
        <v>401</v>
      </c>
      <c r="Y6" s="189" t="s">
        <v>401</v>
      </c>
      <c r="Z6" s="190" t="s">
        <v>401</v>
      </c>
      <c r="AA6" s="149" t="s">
        <v>401</v>
      </c>
      <c r="AB6" s="149" t="s">
        <v>401</v>
      </c>
      <c r="AC6" s="149" t="s">
        <v>401</v>
      </c>
      <c r="AD6" s="149" t="s">
        <v>401</v>
      </c>
      <c r="AE6" s="149" t="s">
        <v>401</v>
      </c>
      <c r="AF6" s="149" t="s">
        <v>401</v>
      </c>
      <c r="AG6" s="149" t="s">
        <v>401</v>
      </c>
      <c r="AH6" s="149" t="s">
        <v>401</v>
      </c>
      <c r="AI6" s="149" t="s">
        <v>401</v>
      </c>
      <c r="AJ6" s="149" t="s">
        <v>401</v>
      </c>
      <c r="AK6" s="149" t="s">
        <v>401</v>
      </c>
      <c r="AL6" s="149" t="s">
        <v>401</v>
      </c>
      <c r="AM6" s="149" t="s">
        <v>401</v>
      </c>
      <c r="AN6" s="149" t="s">
        <v>401</v>
      </c>
      <c r="AO6" s="149" t="s">
        <v>401</v>
      </c>
      <c r="AP6" s="149" t="s">
        <v>401</v>
      </c>
      <c r="AQ6" s="149" t="s">
        <v>401</v>
      </c>
      <c r="AR6" s="149" t="s">
        <v>401</v>
      </c>
      <c r="AS6" s="149" t="s">
        <v>401</v>
      </c>
      <c r="AT6" s="149" t="s">
        <v>401</v>
      </c>
      <c r="AU6" s="158" t="s">
        <v>401</v>
      </c>
      <c r="AV6" s="146" t="s">
        <v>401</v>
      </c>
      <c r="AW6" s="51">
        <f>SUMIFS(AW7:AW8,R7:R8,"כן")</f>
        <v>6969.1049999999996</v>
      </c>
      <c r="AX6" s="80">
        <f>SUMIFS(AX7:AX8,R7:R8,"כן")</f>
        <v>255533.84999999998</v>
      </c>
      <c r="AY6" s="53" t="s">
        <v>7</v>
      </c>
    </row>
    <row r="7" spans="1:51" ht="108" customHeight="1" thickBot="1" x14ac:dyDescent="0.4">
      <c r="A7" s="155" t="s">
        <v>244</v>
      </c>
      <c r="B7" s="55" t="s">
        <v>245</v>
      </c>
      <c r="C7" s="55" t="str">
        <f>VLOOKUP(3,LT!A1:E14,2,FALSE)</f>
        <v>חינוך רגיל</v>
      </c>
      <c r="D7" s="56" t="s">
        <v>246</v>
      </c>
      <c r="E7" s="55" t="s">
        <v>247</v>
      </c>
      <c r="F7" s="56" t="s">
        <v>239</v>
      </c>
      <c r="G7" s="55">
        <v>45</v>
      </c>
      <c r="H7" s="55">
        <v>70</v>
      </c>
      <c r="I7" s="55">
        <v>4</v>
      </c>
      <c r="J7" s="55">
        <v>0</v>
      </c>
      <c r="K7" s="57">
        <f>0*(VLOOKUP("###VatValue###",AuctionDetails!A1:C28,2,FALSE)+1)*(VLOOKUP("###Commission###",AuctionDetails!A1:C28,2,FALSE)+1)</f>
        <v>0</v>
      </c>
      <c r="L7" s="55">
        <v>1</v>
      </c>
      <c r="M7" s="55">
        <v>1</v>
      </c>
      <c r="N7" s="55">
        <v>4</v>
      </c>
      <c r="O7" s="55">
        <v>2</v>
      </c>
      <c r="P7" s="55">
        <v>4</v>
      </c>
      <c r="Q7" s="55">
        <v>0</v>
      </c>
      <c r="R7" s="55" t="s">
        <v>8</v>
      </c>
      <c r="S7" s="148" t="s">
        <v>401</v>
      </c>
      <c r="T7" s="57">
        <f>0*(VLOOKUP("###VatValue###",AuctionDetails!A1:C28,2,FALSE)+1)*(VLOOKUP("###Commission###",AuctionDetails!A1:C28,2,FALSE)+1)</f>
        <v>0</v>
      </c>
      <c r="U7" s="148" t="s">
        <v>401</v>
      </c>
      <c r="V7" s="58">
        <v>440</v>
      </c>
      <c r="W7" s="60" t="s">
        <v>234</v>
      </c>
      <c r="X7" s="88" t="s">
        <v>390</v>
      </c>
      <c r="Y7" s="93">
        <f>AQ7/1.17</f>
        <v>130.625</v>
      </c>
      <c r="Z7" s="96">
        <v>123.3</v>
      </c>
      <c r="AA7" s="149" t="s">
        <v>401</v>
      </c>
      <c r="AB7" s="88" t="s">
        <v>234</v>
      </c>
      <c r="AC7" s="88" t="s">
        <v>234</v>
      </c>
      <c r="AD7" s="88" t="s">
        <v>234</v>
      </c>
      <c r="AE7" s="88">
        <f>212*VLOOKUP(50427,StageData!A2:H24,7,FALSE)*VLOOKUP(50427,StageData!A2:H24,8,FALSE)</f>
        <v>259.20179999999999</v>
      </c>
      <c r="AF7" s="88">
        <f>210*VLOOKUP(50427,StageData!A2:H24,7,FALSE)*VLOOKUP(50427,StageData!A2:H24,8,FALSE)</f>
        <v>256.75649999999996</v>
      </c>
      <c r="AG7" s="88">
        <f>((P7*O7)+(N7*M7))*L7*(K7+AF7)</f>
        <v>3081.0779999999995</v>
      </c>
      <c r="AH7" s="88">
        <f>(K7+AF7)*L7*V7</f>
        <v>112972.85999999999</v>
      </c>
      <c r="AI7" s="88">
        <f>209.2*VLOOKUP(50424,StageData!A2:H24,7,FALSE)*VLOOKUP(50424,StageData!A2:H24,8,FALSE)</f>
        <v>255.77837999999997</v>
      </c>
      <c r="AJ7" s="149" t="s">
        <v>401</v>
      </c>
      <c r="AK7" s="88">
        <f>209*VLOOKUP(50424,StageData!A2:H24,7,FALSE)*VLOOKUP(50424,StageData!A2:H24,8,FALSE)</f>
        <v>255.53384999999994</v>
      </c>
      <c r="AL7" s="88">
        <f>((P7*O7)+(N7*M7))*L7*(K7+AK7)</f>
        <v>3066.4061999999994</v>
      </c>
      <c r="AM7" s="88">
        <f>(K7+AK7)*L7*V7</f>
        <v>112434.89399999997</v>
      </c>
      <c r="AN7" s="88">
        <f>202.2*VLOOKUP(50423,StageData!A2:H24,7,FALSE)*VLOOKUP(50423,StageData!A2:H24,8,FALSE)</f>
        <v>247.21982999999997</v>
      </c>
      <c r="AO7" s="149" t="s">
        <v>401</v>
      </c>
      <c r="AP7" s="88">
        <v>144.261</v>
      </c>
      <c r="AQ7" s="88">
        <f>125*VLOOKUP(50423,StageData!A2:H24,7,FALSE)*VLOOKUP(50423,StageData!A2:H24,8,FALSE)</f>
        <v>152.83124999999998</v>
      </c>
      <c r="AR7" s="88">
        <f>((P7*O7)+(N7*M7))*L7*(K7+AQ7)</f>
        <v>1833.9749999999999</v>
      </c>
      <c r="AS7" s="88">
        <f>(K7+AQ7)*L7*V7</f>
        <v>67245.749999999985</v>
      </c>
      <c r="AT7" s="88">
        <f>211.9*VLOOKUP(50425,StageData!A2:H24,7,FALSE)*VLOOKUP(50425,StageData!A2:H24,8,FALSE)</f>
        <v>259.07953499999996</v>
      </c>
      <c r="AU7" s="157">
        <f t="shared" si="0"/>
        <v>7.3250000000000028</v>
      </c>
      <c r="AV7" s="75">
        <f>190*VLOOKUP(50425,StageData!A2:H24,7,FALSE)*VLOOKUP(50425,StageData!A2:H24,8,FALSE)</f>
        <v>232.30349999999996</v>
      </c>
      <c r="AW7" s="59">
        <f>((P7*O7)+(N7*M7))*L7*(K7+AV7)</f>
        <v>2787.6419999999994</v>
      </c>
      <c r="AX7" s="81">
        <f>(K7+AV7)*L7*V7</f>
        <v>102213.53999999998</v>
      </c>
      <c r="AY7" s="62"/>
    </row>
    <row r="8" spans="1:51" ht="108" customHeight="1" thickBot="1" x14ac:dyDescent="0.4">
      <c r="A8" s="155" t="s">
        <v>248</v>
      </c>
      <c r="B8" s="55" t="s">
        <v>249</v>
      </c>
      <c r="C8" s="55" t="str">
        <f>VLOOKUP(3,LT!A1:E14,2,FALSE)</f>
        <v>חינוך רגיל</v>
      </c>
      <c r="D8" s="56" t="s">
        <v>246</v>
      </c>
      <c r="E8" s="55" t="s">
        <v>238</v>
      </c>
      <c r="F8" s="56" t="s">
        <v>239</v>
      </c>
      <c r="G8" s="55">
        <v>45</v>
      </c>
      <c r="H8" s="55">
        <v>70</v>
      </c>
      <c r="I8" s="55">
        <v>10</v>
      </c>
      <c r="J8" s="55">
        <v>0</v>
      </c>
      <c r="K8" s="57">
        <f>0*(VLOOKUP("###VatValue###",AuctionDetails!A1:C28,2,FALSE)+1)*(VLOOKUP("###Commission###",AuctionDetails!A1:C28,2,FALSE)+1)</f>
        <v>0</v>
      </c>
      <c r="L8" s="55">
        <v>1</v>
      </c>
      <c r="M8" s="55">
        <v>1</v>
      </c>
      <c r="N8" s="55">
        <v>4</v>
      </c>
      <c r="O8" s="55">
        <v>2</v>
      </c>
      <c r="P8" s="55">
        <v>4</v>
      </c>
      <c r="Q8" s="55">
        <v>0</v>
      </c>
      <c r="R8" s="55" t="s">
        <v>8</v>
      </c>
      <c r="S8" s="148" t="s">
        <v>401</v>
      </c>
      <c r="T8" s="57">
        <f>0*(VLOOKUP("###VatValue###",AuctionDetails!A1:C28,2,FALSE)+1)*(VLOOKUP("###Commission###",AuctionDetails!A1:C28,2,FALSE)+1)</f>
        <v>0</v>
      </c>
      <c r="U8" s="148" t="s">
        <v>401</v>
      </c>
      <c r="V8" s="58">
        <v>440</v>
      </c>
      <c r="W8" s="60" t="s">
        <v>234</v>
      </c>
      <c r="X8" s="88" t="s">
        <v>390</v>
      </c>
      <c r="Y8" s="93">
        <f>AQ8/1.17</f>
        <v>270.65499999999997</v>
      </c>
      <c r="Z8" s="96">
        <v>133.80000000000001</v>
      </c>
      <c r="AA8" s="149" t="s">
        <v>401</v>
      </c>
      <c r="AB8" s="88" t="s">
        <v>234</v>
      </c>
      <c r="AC8" s="88" t="s">
        <v>234</v>
      </c>
      <c r="AD8" s="88" t="s">
        <v>234</v>
      </c>
      <c r="AE8" s="88">
        <f>311.6*VLOOKUP(50427,StageData!A2:H24,7,FALSE)*VLOOKUP(50427,StageData!A2:H24,8,FALSE)</f>
        <v>380.97773999999998</v>
      </c>
      <c r="AF8" s="88">
        <f>235*VLOOKUP(50427,StageData!A2:H24,7,FALSE)*VLOOKUP(50427,StageData!A2:H24,8,FALSE)</f>
        <v>287.32274999999998</v>
      </c>
      <c r="AG8" s="88">
        <f>((P8*O8)+(N8*M8))*L8*(K8+AF8)</f>
        <v>3447.8729999999996</v>
      </c>
      <c r="AH8" s="88">
        <f>(K8+AF8)*L8*V8</f>
        <v>126422.01</v>
      </c>
      <c r="AI8" s="88">
        <f>307.6*VLOOKUP(50424,StageData!A2:H24,7,FALSE)*VLOOKUP(50424,StageData!A2:H24,8,FALSE)</f>
        <v>376.08713999999998</v>
      </c>
      <c r="AJ8" s="149" t="s">
        <v>401</v>
      </c>
      <c r="AK8" s="88">
        <f>307*VLOOKUP(50424,StageData!A2:H24,7,FALSE)*VLOOKUP(50424,StageData!A2:H24,8,FALSE)</f>
        <v>375.35354999999998</v>
      </c>
      <c r="AL8" s="88">
        <f>((P8*O8)+(N8*M8))*L8*(K8+AK8)</f>
        <v>4504.2425999999996</v>
      </c>
      <c r="AM8" s="88">
        <f>(K8+AK8)*L8*V8</f>
        <v>165155.56200000001</v>
      </c>
      <c r="AN8" s="88">
        <f>297.8*VLOOKUP(50423,StageData!A2:H24,7,FALSE)*VLOOKUP(50423,StageData!A2:H24,8,FALSE)</f>
        <v>364.10516999999993</v>
      </c>
      <c r="AO8" s="149" t="s">
        <v>401</v>
      </c>
      <c r="AP8" s="88">
        <v>156.54599999999999</v>
      </c>
      <c r="AQ8" s="88">
        <f>259*VLOOKUP(50423,StageData!A2:H24,7,FALSE)*VLOOKUP(50423,StageData!A2:H24,8,FALSE)</f>
        <v>316.66634999999997</v>
      </c>
      <c r="AR8" s="88">
        <f>((P8*O8)+(N8*M8))*L8*(K8+AQ8)</f>
        <v>3799.9961999999996</v>
      </c>
      <c r="AS8" s="88">
        <f>(K8+AQ8)*L8*V8</f>
        <v>139333.19399999999</v>
      </c>
      <c r="AT8" s="88">
        <f>311.4*VLOOKUP(50425,StageData!A2:H24,7,FALSE)*VLOOKUP(50425,StageData!A2:H24,8,FALSE)</f>
        <v>380.73320999999993</v>
      </c>
      <c r="AU8" s="157">
        <f t="shared" si="0"/>
        <v>136.85499999999996</v>
      </c>
      <c r="AV8" s="75">
        <f>285*VLOOKUP(50425,StageData!A2:H24,7,FALSE)*VLOOKUP(50425,StageData!A2:H24,8,FALSE)</f>
        <v>348.45524999999998</v>
      </c>
      <c r="AW8" s="59">
        <f>((P8*O8)+(N8*M8))*L8*(K8+AV8)</f>
        <v>4181.4629999999997</v>
      </c>
      <c r="AX8" s="81">
        <f>(K8+AV8)*L8*V8</f>
        <v>153320.31</v>
      </c>
      <c r="AY8" s="62"/>
    </row>
    <row r="9" spans="1:51" s="54" customFormat="1" ht="58.5" customHeight="1" thickBot="1" x14ac:dyDescent="0.4">
      <c r="A9" s="99" t="s">
        <v>250</v>
      </c>
      <c r="B9" s="184" t="s">
        <v>401</v>
      </c>
      <c r="C9" s="184" t="s">
        <v>401</v>
      </c>
      <c r="D9" s="184" t="s">
        <v>401</v>
      </c>
      <c r="E9" s="184" t="s">
        <v>401</v>
      </c>
      <c r="F9" s="184" t="s">
        <v>401</v>
      </c>
      <c r="G9" s="184" t="s">
        <v>401</v>
      </c>
      <c r="H9" s="184" t="s">
        <v>401</v>
      </c>
      <c r="I9" s="184" t="s">
        <v>401</v>
      </c>
      <c r="J9" s="184" t="s">
        <v>401</v>
      </c>
      <c r="K9" s="184" t="s">
        <v>401</v>
      </c>
      <c r="L9" s="184" t="s">
        <v>401</v>
      </c>
      <c r="M9" s="184" t="s">
        <v>401</v>
      </c>
      <c r="N9" s="184" t="s">
        <v>401</v>
      </c>
      <c r="O9" s="184" t="s">
        <v>401</v>
      </c>
      <c r="P9" s="184" t="s">
        <v>401</v>
      </c>
      <c r="Q9" s="184" t="s">
        <v>401</v>
      </c>
      <c r="R9" s="184" t="s">
        <v>401</v>
      </c>
      <c r="S9" s="184" t="s">
        <v>401</v>
      </c>
      <c r="T9" s="184" t="s">
        <v>401</v>
      </c>
      <c r="U9" s="184" t="s">
        <v>401</v>
      </c>
      <c r="V9" s="185" t="s">
        <v>401</v>
      </c>
      <c r="W9" s="51" t="s">
        <v>234</v>
      </c>
      <c r="X9" s="145" t="s">
        <v>401</v>
      </c>
      <c r="Y9" s="189" t="s">
        <v>401</v>
      </c>
      <c r="Z9" s="190" t="s">
        <v>401</v>
      </c>
      <c r="AA9" s="149" t="s">
        <v>401</v>
      </c>
      <c r="AB9" s="149" t="s">
        <v>401</v>
      </c>
      <c r="AC9" s="149" t="s">
        <v>401</v>
      </c>
      <c r="AD9" s="149" t="s">
        <v>401</v>
      </c>
      <c r="AE9" s="149" t="s">
        <v>401</v>
      </c>
      <c r="AF9" s="149" t="s">
        <v>401</v>
      </c>
      <c r="AG9" s="149" t="s">
        <v>401</v>
      </c>
      <c r="AH9" s="149" t="s">
        <v>401</v>
      </c>
      <c r="AI9" s="149" t="s">
        <v>401</v>
      </c>
      <c r="AJ9" s="149" t="s">
        <v>401</v>
      </c>
      <c r="AK9" s="149" t="s">
        <v>401</v>
      </c>
      <c r="AL9" s="149" t="s">
        <v>401</v>
      </c>
      <c r="AM9" s="149" t="s">
        <v>401</v>
      </c>
      <c r="AN9" s="149" t="s">
        <v>401</v>
      </c>
      <c r="AO9" s="149" t="s">
        <v>401</v>
      </c>
      <c r="AP9" s="149" t="s">
        <v>401</v>
      </c>
      <c r="AQ9" s="149" t="s">
        <v>401</v>
      </c>
      <c r="AR9" s="149" t="s">
        <v>401</v>
      </c>
      <c r="AS9" s="149" t="s">
        <v>401</v>
      </c>
      <c r="AT9" s="149" t="s">
        <v>401</v>
      </c>
      <c r="AU9" s="158" t="s">
        <v>401</v>
      </c>
      <c r="AV9" s="146" t="s">
        <v>401</v>
      </c>
      <c r="AW9" s="51">
        <f>SUMIFS(AW10:AW11,R10:R11,"כן")</f>
        <v>8729.7209999999977</v>
      </c>
      <c r="AX9" s="80">
        <f>SUMIFS(AX10:AX11,R10:R11,"כן")</f>
        <v>320089.76999999996</v>
      </c>
      <c r="AY9" s="53" t="s">
        <v>7</v>
      </c>
    </row>
    <row r="10" spans="1:51" ht="108" customHeight="1" thickBot="1" x14ac:dyDescent="0.4">
      <c r="A10" s="155" t="s">
        <v>251</v>
      </c>
      <c r="B10" s="55" t="s">
        <v>252</v>
      </c>
      <c r="C10" s="55" t="str">
        <f>VLOOKUP(3,LT!A1:E14,2,FALSE)</f>
        <v>חינוך רגיל</v>
      </c>
      <c r="D10" s="56" t="s">
        <v>253</v>
      </c>
      <c r="E10" s="55" t="s">
        <v>238</v>
      </c>
      <c r="F10" s="56" t="s">
        <v>254</v>
      </c>
      <c r="G10" s="55">
        <v>60</v>
      </c>
      <c r="H10" s="55">
        <v>80</v>
      </c>
      <c r="I10" s="55">
        <v>10</v>
      </c>
      <c r="J10" s="55">
        <v>0</v>
      </c>
      <c r="K10" s="57">
        <f>0*(VLOOKUP("###VatValue###",AuctionDetails!A1:C28,2,FALSE)+1)*(VLOOKUP("###Commission###",AuctionDetails!A1:C28,2,FALSE)+1)</f>
        <v>0</v>
      </c>
      <c r="L10" s="55">
        <v>1</v>
      </c>
      <c r="M10" s="55">
        <v>1</v>
      </c>
      <c r="N10" s="55">
        <v>4</v>
      </c>
      <c r="O10" s="55">
        <v>2</v>
      </c>
      <c r="P10" s="55">
        <v>4</v>
      </c>
      <c r="Q10" s="55">
        <v>0</v>
      </c>
      <c r="R10" s="55" t="s">
        <v>8</v>
      </c>
      <c r="S10" s="148" t="s">
        <v>401</v>
      </c>
      <c r="T10" s="57">
        <f>0*(VLOOKUP("###VatValue###",AuctionDetails!A1:C28,2,FALSE)+1)*(VLOOKUP("###Commission###",AuctionDetails!A1:C28,2,FALSE)+1)</f>
        <v>0</v>
      </c>
      <c r="U10" s="148" t="s">
        <v>401</v>
      </c>
      <c r="V10" s="58">
        <v>440</v>
      </c>
      <c r="W10" s="60" t="s">
        <v>234</v>
      </c>
      <c r="X10" s="88" t="s">
        <v>390</v>
      </c>
      <c r="Y10" s="93">
        <f>AQ10/1.17</f>
        <v>192.27999999999997</v>
      </c>
      <c r="Z10" s="96">
        <v>133.80000000000001</v>
      </c>
      <c r="AA10" s="149" t="s">
        <v>401</v>
      </c>
      <c r="AB10" s="88" t="s">
        <v>234</v>
      </c>
      <c r="AC10" s="88" t="s">
        <v>234</v>
      </c>
      <c r="AD10" s="88" t="s">
        <v>234</v>
      </c>
      <c r="AE10" s="88">
        <f>384.4*VLOOKUP(50427,StageData!A2:H24,7,FALSE)*VLOOKUP(50427,StageData!A2:H24,8,FALSE)</f>
        <v>469.98665999999986</v>
      </c>
      <c r="AF10" s="88">
        <f>235*VLOOKUP(50427,StageData!A2:H24,7,FALSE)*VLOOKUP(50427,StageData!A2:H24,8,FALSE)</f>
        <v>287.32274999999998</v>
      </c>
      <c r="AG10" s="88">
        <f>((P10*O10)+(N10*M10))*L10*(K10+AF10)</f>
        <v>3447.8729999999996</v>
      </c>
      <c r="AH10" s="88">
        <f>(K10+AF10)*L10*V10</f>
        <v>126422.01</v>
      </c>
      <c r="AI10" s="88">
        <f>379.9*VLOOKUP(50424,StageData!A2:H24,7,FALSE)*VLOOKUP(50424,StageData!A2:H24,8,FALSE)</f>
        <v>464.48473499999989</v>
      </c>
      <c r="AJ10" s="149" t="s">
        <v>401</v>
      </c>
      <c r="AK10" s="88">
        <f>370*VLOOKUP(50424,StageData!A2:H24,7,FALSE)*VLOOKUP(50424,StageData!A2:H24,8,FALSE)</f>
        <v>452.38049999999993</v>
      </c>
      <c r="AL10" s="88">
        <f>((P10*O10)+(N10*M10))*L10*(K10+AK10)</f>
        <v>5428.5659999999989</v>
      </c>
      <c r="AM10" s="88">
        <f>(K10+AK10)*L10*V10</f>
        <v>199047.41999999995</v>
      </c>
      <c r="AN10" s="88">
        <f>368.6*VLOOKUP(50423,StageData!A2:H24,7,FALSE)*VLOOKUP(50423,StageData!A2:H24,8,FALSE)</f>
        <v>450.66879</v>
      </c>
      <c r="AO10" s="149" t="s">
        <v>401</v>
      </c>
      <c r="AP10" s="149" t="s">
        <v>401</v>
      </c>
      <c r="AQ10" s="88">
        <f>184*VLOOKUP(50423,StageData!A2:H24,7,FALSE)*VLOOKUP(50423,StageData!A2:H24,8,FALSE)</f>
        <v>224.96759999999995</v>
      </c>
      <c r="AR10" s="88">
        <f>((P10*O10)+(N10*M10))*L10*(K10+AQ10)</f>
        <v>2699.6111999999994</v>
      </c>
      <c r="AS10" s="88">
        <f>(K10+AQ10)*L10*V10</f>
        <v>98985.743999999977</v>
      </c>
      <c r="AT10" s="88">
        <f>384.1*VLOOKUP(50425,StageData!A2:H24,7,FALSE)*VLOOKUP(50425,StageData!A2:H24,8,FALSE)</f>
        <v>469.61986499999995</v>
      </c>
      <c r="AU10" s="157">
        <f t="shared" si="0"/>
        <v>58.479999999999961</v>
      </c>
      <c r="AV10" s="75">
        <f>295*VLOOKUP(50425,StageData!A2:H24,7,FALSE)*VLOOKUP(50425,StageData!A2:H24,8,FALSE)</f>
        <v>360.68174999999997</v>
      </c>
      <c r="AW10" s="59">
        <f>((P10*O10)+(N10*M10))*L10*(K10+AV10)</f>
        <v>4328.1809999999996</v>
      </c>
      <c r="AX10" s="81">
        <f>(K10+AV10)*L10*V10</f>
        <v>158699.96999999997</v>
      </c>
      <c r="AY10" s="62"/>
    </row>
    <row r="11" spans="1:51" ht="108" customHeight="1" thickBot="1" x14ac:dyDescent="0.4">
      <c r="A11" s="155" t="s">
        <v>255</v>
      </c>
      <c r="B11" s="55" t="s">
        <v>256</v>
      </c>
      <c r="C11" s="55" t="str">
        <f>VLOOKUP(3,LT!A1:E14,2,FALSE)</f>
        <v>חינוך רגיל</v>
      </c>
      <c r="D11" s="56" t="s">
        <v>253</v>
      </c>
      <c r="E11" s="55" t="s">
        <v>242</v>
      </c>
      <c r="F11" s="56" t="s">
        <v>254</v>
      </c>
      <c r="G11" s="55">
        <v>60</v>
      </c>
      <c r="H11" s="55">
        <v>80</v>
      </c>
      <c r="I11" s="55">
        <v>16</v>
      </c>
      <c r="J11" s="55">
        <v>0</v>
      </c>
      <c r="K11" s="57">
        <f>0*(VLOOKUP("###VatValue###",AuctionDetails!A1:C28,2,FALSE)+1)*(VLOOKUP("###Commission###",AuctionDetails!A1:C28,2,FALSE)+1)</f>
        <v>0</v>
      </c>
      <c r="L11" s="55">
        <v>1</v>
      </c>
      <c r="M11" s="55">
        <v>1</v>
      </c>
      <c r="N11" s="55">
        <v>4</v>
      </c>
      <c r="O11" s="55">
        <v>2</v>
      </c>
      <c r="P11" s="55">
        <v>4</v>
      </c>
      <c r="Q11" s="55">
        <v>0</v>
      </c>
      <c r="R11" s="55" t="s">
        <v>8</v>
      </c>
      <c r="S11" s="148" t="s">
        <v>401</v>
      </c>
      <c r="T11" s="57">
        <f>0*(VLOOKUP("###VatValue###",AuctionDetails!A1:C28,2,FALSE)+1)*(VLOOKUP("###Commission###",AuctionDetails!A1:C28,2,FALSE)+1)</f>
        <v>0</v>
      </c>
      <c r="U11" s="148" t="s">
        <v>401</v>
      </c>
      <c r="V11" s="58">
        <v>440</v>
      </c>
      <c r="W11" s="60" t="s">
        <v>234</v>
      </c>
      <c r="X11" s="88" t="s">
        <v>390</v>
      </c>
      <c r="Y11" s="93">
        <f>AQ11/1.17</f>
        <v>289.46499999999997</v>
      </c>
      <c r="Z11" s="96">
        <v>211.9</v>
      </c>
      <c r="AA11" s="88" t="s">
        <v>395</v>
      </c>
      <c r="AB11" s="88" t="s">
        <v>234</v>
      </c>
      <c r="AC11" s="88" t="s">
        <v>234</v>
      </c>
      <c r="AD11" s="88" t="s">
        <v>234</v>
      </c>
      <c r="AE11" s="88">
        <f>473.3*VLOOKUP(50427,StageData!A2:H24,7,FALSE)*VLOOKUP(50427,StageData!A2:H24,8,FALSE)</f>
        <v>578.68024500000001</v>
      </c>
      <c r="AF11" s="88">
        <f>235*VLOOKUP(50427,StageData!A2:H24,7,FALSE)*VLOOKUP(50427,StageData!A2:H24,8,FALSE)</f>
        <v>287.32274999999998</v>
      </c>
      <c r="AG11" s="88">
        <f>((P11*O11)+(N11*M11))*L11*(K11+AF11)</f>
        <v>3447.8729999999996</v>
      </c>
      <c r="AH11" s="88">
        <f>(K11+AF11)*L11*V11</f>
        <v>126422.01</v>
      </c>
      <c r="AI11" s="88">
        <f>467.6*VLOOKUP(50424,StageData!A2:H24,7,FALSE)*VLOOKUP(50424,StageData!A2:H24,8,FALSE)</f>
        <v>571.71114</v>
      </c>
      <c r="AJ11" s="149" t="s">
        <v>401</v>
      </c>
      <c r="AK11" s="88">
        <f>460*VLOOKUP(50424,StageData!A2:H24,7,FALSE)*VLOOKUP(50424,StageData!A2:H24,8,FALSE)</f>
        <v>562.41899999999998</v>
      </c>
      <c r="AL11" s="88">
        <f>((P11*O11)+(N11*M11))*L11*(K11+AK11)</f>
        <v>6749.0280000000002</v>
      </c>
      <c r="AM11" s="88">
        <f>(K11+AK11)*L11*V11</f>
        <v>247464.36</v>
      </c>
      <c r="AN11" s="88">
        <f>453.2*VLOOKUP(50423,StageData!A2:H24,7,FALSE)*VLOOKUP(50423,StageData!A2:H24,8,FALSE)</f>
        <v>554.10497999999984</v>
      </c>
      <c r="AO11" s="149" t="s">
        <v>401</v>
      </c>
      <c r="AP11" s="149" t="s">
        <v>401</v>
      </c>
      <c r="AQ11" s="88">
        <f>277*VLOOKUP(50423,StageData!A2:H24,7,FALSE)*VLOOKUP(50423,StageData!A2:H24,8,FALSE)</f>
        <v>338.67404999999997</v>
      </c>
      <c r="AR11" s="88">
        <f>((P11*O11)+(N11*M11))*L11*(K11+AQ11)</f>
        <v>4064.0885999999996</v>
      </c>
      <c r="AS11" s="88">
        <f>(K11+AQ11)*L11*V11</f>
        <v>149016.58199999999</v>
      </c>
      <c r="AT11" s="88">
        <f>473*VLOOKUP(50425,StageData!A2:H24,7,FALSE)*VLOOKUP(50425,StageData!A2:H24,8,FALSE)</f>
        <v>578.31344999999988</v>
      </c>
      <c r="AU11" s="158" t="s">
        <v>401</v>
      </c>
      <c r="AV11" s="75">
        <f>300*VLOOKUP(50425,StageData!A2:H24,7,FALSE)*VLOOKUP(50425,StageData!A2:H24,8,FALSE)</f>
        <v>366.79499999999996</v>
      </c>
      <c r="AW11" s="59">
        <f>((P11*O11)+(N11*M11))*L11*(K11+AV11)</f>
        <v>4401.5399999999991</v>
      </c>
      <c r="AX11" s="81">
        <f>(K11+AV11)*L11*V11</f>
        <v>161389.79999999999</v>
      </c>
      <c r="AY11" s="62"/>
    </row>
    <row r="12" spans="1:51" s="54" customFormat="1" ht="58.5" customHeight="1" thickBot="1" x14ac:dyDescent="0.4">
      <c r="A12" s="99" t="s">
        <v>257</v>
      </c>
      <c r="B12" s="184" t="s">
        <v>401</v>
      </c>
      <c r="C12" s="184" t="s">
        <v>401</v>
      </c>
      <c r="D12" s="184" t="s">
        <v>401</v>
      </c>
      <c r="E12" s="184" t="s">
        <v>401</v>
      </c>
      <c r="F12" s="184" t="s">
        <v>401</v>
      </c>
      <c r="G12" s="184" t="s">
        <v>401</v>
      </c>
      <c r="H12" s="184" t="s">
        <v>401</v>
      </c>
      <c r="I12" s="184" t="s">
        <v>401</v>
      </c>
      <c r="J12" s="184" t="s">
        <v>401</v>
      </c>
      <c r="K12" s="184" t="s">
        <v>401</v>
      </c>
      <c r="L12" s="184" t="s">
        <v>401</v>
      </c>
      <c r="M12" s="184" t="s">
        <v>401</v>
      </c>
      <c r="N12" s="184" t="s">
        <v>401</v>
      </c>
      <c r="O12" s="184" t="s">
        <v>401</v>
      </c>
      <c r="P12" s="184" t="s">
        <v>401</v>
      </c>
      <c r="Q12" s="184" t="s">
        <v>401</v>
      </c>
      <c r="R12" s="184" t="s">
        <v>401</v>
      </c>
      <c r="S12" s="184" t="s">
        <v>401</v>
      </c>
      <c r="T12" s="184" t="s">
        <v>401</v>
      </c>
      <c r="U12" s="184" t="s">
        <v>401</v>
      </c>
      <c r="V12" s="185" t="s">
        <v>401</v>
      </c>
      <c r="W12" s="51" t="s">
        <v>234</v>
      </c>
      <c r="X12" s="145" t="s">
        <v>401</v>
      </c>
      <c r="Y12" s="189" t="s">
        <v>401</v>
      </c>
      <c r="Z12" s="150" t="s">
        <v>401</v>
      </c>
      <c r="AA12" s="149" t="s">
        <v>401</v>
      </c>
      <c r="AB12" s="149" t="s">
        <v>401</v>
      </c>
      <c r="AC12" s="149" t="s">
        <v>401</v>
      </c>
      <c r="AD12" s="149" t="s">
        <v>401</v>
      </c>
      <c r="AE12" s="149" t="s">
        <v>401</v>
      </c>
      <c r="AF12" s="149" t="s">
        <v>401</v>
      </c>
      <c r="AG12" s="149" t="s">
        <v>401</v>
      </c>
      <c r="AH12" s="149" t="s">
        <v>401</v>
      </c>
      <c r="AI12" s="149" t="s">
        <v>401</v>
      </c>
      <c r="AJ12" s="149" t="s">
        <v>401</v>
      </c>
      <c r="AK12" s="149" t="s">
        <v>401</v>
      </c>
      <c r="AL12" s="149" t="s">
        <v>401</v>
      </c>
      <c r="AM12" s="149" t="s">
        <v>401</v>
      </c>
      <c r="AN12" s="149" t="s">
        <v>401</v>
      </c>
      <c r="AO12" s="149" t="s">
        <v>401</v>
      </c>
      <c r="AP12" s="149" t="s">
        <v>401</v>
      </c>
      <c r="AQ12" s="149" t="s">
        <v>401</v>
      </c>
      <c r="AR12" s="149" t="s">
        <v>401</v>
      </c>
      <c r="AS12" s="149" t="s">
        <v>401</v>
      </c>
      <c r="AT12" s="149" t="s">
        <v>401</v>
      </c>
      <c r="AU12" s="158" t="s">
        <v>401</v>
      </c>
      <c r="AV12" s="146" t="s">
        <v>401</v>
      </c>
      <c r="AW12" s="51">
        <f>SUMIFS(AW13:AW14,R13:R14,"כן")</f>
        <v>5832.0404999999992</v>
      </c>
      <c r="AX12" s="80">
        <f>SUMIFS(AX13:AX14,R13:R14,"כן")</f>
        <v>214035.88634999999</v>
      </c>
      <c r="AY12" s="53" t="s">
        <v>10</v>
      </c>
    </row>
    <row r="13" spans="1:51" ht="92.25" customHeight="1" thickBot="1" x14ac:dyDescent="0.4">
      <c r="A13" s="155" t="s">
        <v>258</v>
      </c>
      <c r="B13" s="55" t="s">
        <v>259</v>
      </c>
      <c r="C13" s="55" t="str">
        <f>VLOOKUP(3,LT!A1:E14,2,FALSE)</f>
        <v>חינוך רגיל</v>
      </c>
      <c r="D13" s="56" t="s">
        <v>260</v>
      </c>
      <c r="E13" s="55" t="s">
        <v>238</v>
      </c>
      <c r="F13" s="56" t="s">
        <v>261</v>
      </c>
      <c r="G13" s="55">
        <v>30</v>
      </c>
      <c r="H13" s="55">
        <v>60</v>
      </c>
      <c r="I13" s="55">
        <v>10</v>
      </c>
      <c r="J13" s="55">
        <v>0</v>
      </c>
      <c r="K13" s="57">
        <f>0*(VLOOKUP("###VatValue###",AuctionDetails!A1:C28,2,FALSE)+1)*(VLOOKUP("###Commission###",AuctionDetails!A1:C28,2,FALSE)+1)</f>
        <v>0</v>
      </c>
      <c r="L13" s="55">
        <v>1</v>
      </c>
      <c r="M13" s="55">
        <v>0</v>
      </c>
      <c r="N13" s="55">
        <v>0</v>
      </c>
      <c r="O13" s="55">
        <v>2</v>
      </c>
      <c r="P13" s="55">
        <v>5</v>
      </c>
      <c r="Q13" s="55">
        <v>0</v>
      </c>
      <c r="R13" s="55" t="s">
        <v>8</v>
      </c>
      <c r="S13" s="148" t="s">
        <v>401</v>
      </c>
      <c r="T13" s="57">
        <f>0*(VLOOKUP("###VatValue###",AuctionDetails!A1:C28,2,FALSE)+1)*(VLOOKUP("###Commission###",AuctionDetails!A1:C28,2,FALSE)+1)</f>
        <v>0</v>
      </c>
      <c r="U13" s="148" t="s">
        <v>401</v>
      </c>
      <c r="V13" s="58">
        <v>367</v>
      </c>
      <c r="W13" s="60" t="s">
        <v>234</v>
      </c>
      <c r="X13" s="88" t="s">
        <v>391</v>
      </c>
      <c r="Y13" s="93">
        <f>AK13/1.17</f>
        <v>182.875</v>
      </c>
      <c r="Z13" s="96">
        <v>93</v>
      </c>
      <c r="AA13" s="149" t="s">
        <v>401</v>
      </c>
      <c r="AB13" s="88" t="s">
        <v>234</v>
      </c>
      <c r="AC13" s="88" t="s">
        <v>234</v>
      </c>
      <c r="AD13" s="88" t="s">
        <v>234</v>
      </c>
      <c r="AE13" s="88">
        <f>238.8*VLOOKUP(50427,StageData!A2:H24,7,FALSE)*VLOOKUP(50427,StageData!A2:H24,8,FALSE)</f>
        <v>291.96881999999999</v>
      </c>
      <c r="AF13" s="88">
        <f>238*VLOOKUP(50427,StageData!A2:H24,7,FALSE)*VLOOKUP(50427,StageData!A2:H24,8,FALSE)</f>
        <v>290.99069999999995</v>
      </c>
      <c r="AG13" s="88">
        <f>((P13*O13)+(N13*M13))*L13*(K13+AF13)</f>
        <v>2909.9069999999992</v>
      </c>
      <c r="AH13" s="88">
        <f>(K13+AF13)*L13*V13</f>
        <v>106793.58689999998</v>
      </c>
      <c r="AI13" s="88">
        <f>235.4*VLOOKUP(50424,StageData!A2:H24,7,FALSE)*VLOOKUP(50424,StageData!A2:H24,8,FALSE)</f>
        <v>287.81180999999998</v>
      </c>
      <c r="AJ13" s="149" t="s">
        <v>401</v>
      </c>
      <c r="AK13" s="88">
        <f>175*VLOOKUP(50424,StageData!A2:H24,7,FALSE)*VLOOKUP(50424,StageData!A2:H24,8,FALSE)</f>
        <v>213.96374999999998</v>
      </c>
      <c r="AL13" s="88">
        <f>((P13*O13)+(N13*M13))*L13*(K13+AK13)</f>
        <v>2139.6374999999998</v>
      </c>
      <c r="AM13" s="88">
        <f>(K13+AK13)*L13*V13</f>
        <v>78524.696249999994</v>
      </c>
      <c r="AN13" s="88">
        <f>226.9*VLOOKUP(50423,StageData!A2:H24,7,FALSE)*VLOOKUP(50423,StageData!A2:H24,8,FALSE)</f>
        <v>277.419285</v>
      </c>
      <c r="AO13" s="149" t="s">
        <v>401</v>
      </c>
      <c r="AP13" s="149" t="s">
        <v>401</v>
      </c>
      <c r="AQ13" s="88">
        <f>226*VLOOKUP(50423,StageData!A2:H24,7,FALSE)*VLOOKUP(50423,StageData!A2:H24,8,FALSE)</f>
        <v>276.31889999999999</v>
      </c>
      <c r="AR13" s="88">
        <f>((P13*O13)+(N13*M13))*L13*(K13+AQ13)</f>
        <v>2763.1889999999999</v>
      </c>
      <c r="AS13" s="88">
        <f>(K13+AQ13)*L13*V13</f>
        <v>101409.03629999999</v>
      </c>
      <c r="AT13" s="88">
        <f>238.6*VLOOKUP(50425,StageData!A2:H24,7,FALSE)*VLOOKUP(50425,StageData!A2:H24,8,FALSE)</f>
        <v>291.72429</v>
      </c>
      <c r="AU13" s="157">
        <f t="shared" si="0"/>
        <v>89.875</v>
      </c>
      <c r="AV13" s="75">
        <f>227*VLOOKUP(50425,StageData!A2:H24,7,FALSE)*VLOOKUP(50425,StageData!A2:H24,8,FALSE)</f>
        <v>277.54154999999997</v>
      </c>
      <c r="AW13" s="59">
        <f>((P13*O13)+(N13*M13))*L13*(K13+AV13)</f>
        <v>2775.4154999999996</v>
      </c>
      <c r="AX13" s="81">
        <f>(K13+AV13)*L13*V13</f>
        <v>101857.74884999999</v>
      </c>
      <c r="AY13" s="62"/>
    </row>
    <row r="14" spans="1:51" ht="92.25" customHeight="1" thickBot="1" x14ac:dyDescent="0.4">
      <c r="A14" s="155" t="s">
        <v>262</v>
      </c>
      <c r="B14" s="55" t="s">
        <v>263</v>
      </c>
      <c r="C14" s="55" t="str">
        <f>VLOOKUP(3,LT!A1:E14,2,FALSE)</f>
        <v>חינוך רגיל</v>
      </c>
      <c r="D14" s="56" t="s">
        <v>260</v>
      </c>
      <c r="E14" s="55" t="s">
        <v>264</v>
      </c>
      <c r="F14" s="56" t="s">
        <v>261</v>
      </c>
      <c r="G14" s="55">
        <v>30</v>
      </c>
      <c r="H14" s="55">
        <v>60</v>
      </c>
      <c r="I14" s="55">
        <v>14</v>
      </c>
      <c r="J14" s="55">
        <v>0</v>
      </c>
      <c r="K14" s="57">
        <f>0*(VLOOKUP("###VatValue###",AuctionDetails!A1:C28,2,FALSE)+1)*(VLOOKUP("###Commission###",AuctionDetails!A1:C28,2,FALSE)+1)</f>
        <v>0</v>
      </c>
      <c r="L14" s="55">
        <v>1</v>
      </c>
      <c r="M14" s="55">
        <v>0</v>
      </c>
      <c r="N14" s="55">
        <v>0</v>
      </c>
      <c r="O14" s="55">
        <v>2</v>
      </c>
      <c r="P14" s="55">
        <v>5</v>
      </c>
      <c r="Q14" s="55">
        <v>0</v>
      </c>
      <c r="R14" s="55" t="s">
        <v>8</v>
      </c>
      <c r="S14" s="148" t="s">
        <v>401</v>
      </c>
      <c r="T14" s="57">
        <f>0*(VLOOKUP("###VatValue###",AuctionDetails!A1:C28,2,FALSE)+1)*(VLOOKUP("###Commission###",AuctionDetails!A1:C28,2,FALSE)+1)</f>
        <v>0</v>
      </c>
      <c r="U14" s="148" t="s">
        <v>401</v>
      </c>
      <c r="V14" s="58">
        <v>367</v>
      </c>
      <c r="W14" s="60" t="s">
        <v>234</v>
      </c>
      <c r="X14" s="88" t="s">
        <v>391</v>
      </c>
      <c r="Y14" s="93">
        <f t="shared" ref="Y14:Y19" si="1">AK14/1.17</f>
        <v>193.32499999999999</v>
      </c>
      <c r="Z14" s="96">
        <v>93</v>
      </c>
      <c r="AA14" s="149" t="s">
        <v>401</v>
      </c>
      <c r="AB14" s="88" t="s">
        <v>234</v>
      </c>
      <c r="AC14" s="88" t="s">
        <v>234</v>
      </c>
      <c r="AD14" s="88" t="s">
        <v>234</v>
      </c>
      <c r="AE14" s="88">
        <f>262.2*VLOOKUP(50427,StageData!A2:H24,7,FALSE)*VLOOKUP(50427,StageData!A2:H24,8,FALSE)</f>
        <v>320.57882999999993</v>
      </c>
      <c r="AF14" s="88">
        <f>262*VLOOKUP(50427,StageData!A2:H24,7,FALSE)*VLOOKUP(50427,StageData!A2:H24,8,FALSE)</f>
        <v>320.33429999999993</v>
      </c>
      <c r="AG14" s="88">
        <f>((P14*O14)+(N14*M14))*L14*(K14+AF14)</f>
        <v>3203.3429999999994</v>
      </c>
      <c r="AH14" s="88">
        <f>(K14+AF14)*L14*V14</f>
        <v>117562.68809999997</v>
      </c>
      <c r="AI14" s="88">
        <f>258.5*VLOOKUP(50424,StageData!A2:H24,7,FALSE)*VLOOKUP(50424,StageData!A2:H24,8,FALSE)</f>
        <v>316.055025</v>
      </c>
      <c r="AJ14" s="149" t="s">
        <v>401</v>
      </c>
      <c r="AK14" s="88">
        <f>185*VLOOKUP(50424,StageData!A2:H24,7,FALSE)*VLOOKUP(50424,StageData!A2:H24,8,FALSE)</f>
        <v>226.19024999999996</v>
      </c>
      <c r="AL14" s="88">
        <f>((P14*O14)+(N14*M14))*L14*(K14+AK14)</f>
        <v>2261.9024999999997</v>
      </c>
      <c r="AM14" s="88">
        <f>(K14+AK14)*L14*V14</f>
        <v>83011.821749999988</v>
      </c>
      <c r="AN14" s="88">
        <f>249.1*VLOOKUP(50423,StageData!A2:H24,7,FALSE)*VLOOKUP(50423,StageData!A2:H24,8,FALSE)</f>
        <v>304.56211499999995</v>
      </c>
      <c r="AO14" s="149" t="s">
        <v>401</v>
      </c>
      <c r="AP14" s="149" t="s">
        <v>401</v>
      </c>
      <c r="AQ14" s="88">
        <f>248*VLOOKUP(50423,StageData!A2:H24,7,FALSE)*VLOOKUP(50423,StageData!A2:H24,8,FALSE)</f>
        <v>303.21719999999993</v>
      </c>
      <c r="AR14" s="88">
        <f>((P14*O14)+(N14*M14))*L14*(K14+AQ14)</f>
        <v>3032.1719999999996</v>
      </c>
      <c r="AS14" s="88">
        <f>(K14+AQ14)*L14*V14</f>
        <v>111280.71239999997</v>
      </c>
      <c r="AT14" s="88">
        <f>262*VLOOKUP(50425,StageData!A2:H24,7,FALSE)*VLOOKUP(50425,StageData!A2:H24,8,FALSE)</f>
        <v>320.33429999999993</v>
      </c>
      <c r="AU14" s="157">
        <f t="shared" si="0"/>
        <v>100.32499999999999</v>
      </c>
      <c r="AV14" s="75">
        <f>250*VLOOKUP(50425,StageData!A2:H24,7,FALSE)*VLOOKUP(50425,StageData!A2:H24,8,FALSE)</f>
        <v>305.66249999999997</v>
      </c>
      <c r="AW14" s="59">
        <f>((P14*O14)+(N14*M14))*L14*(K14+AV14)</f>
        <v>3056.6249999999995</v>
      </c>
      <c r="AX14" s="81">
        <f>(K14+AV14)*L14*V14</f>
        <v>112178.13749999998</v>
      </c>
      <c r="AY14" s="62"/>
    </row>
    <row r="15" spans="1:51" s="54" customFormat="1" ht="58.5" customHeight="1" thickBot="1" x14ac:dyDescent="0.4">
      <c r="A15" s="99" t="s">
        <v>265</v>
      </c>
      <c r="B15" s="184" t="s">
        <v>401</v>
      </c>
      <c r="C15" s="184" t="s">
        <v>401</v>
      </c>
      <c r="D15" s="184" t="s">
        <v>401</v>
      </c>
      <c r="E15" s="184" t="s">
        <v>401</v>
      </c>
      <c r="F15" s="184" t="s">
        <v>401</v>
      </c>
      <c r="G15" s="184" t="s">
        <v>401</v>
      </c>
      <c r="H15" s="184" t="s">
        <v>401</v>
      </c>
      <c r="I15" s="184" t="s">
        <v>401</v>
      </c>
      <c r="J15" s="184" t="s">
        <v>401</v>
      </c>
      <c r="K15" s="184" t="s">
        <v>401</v>
      </c>
      <c r="L15" s="184" t="s">
        <v>401</v>
      </c>
      <c r="M15" s="184" t="s">
        <v>401</v>
      </c>
      <c r="N15" s="184" t="s">
        <v>401</v>
      </c>
      <c r="O15" s="184" t="s">
        <v>401</v>
      </c>
      <c r="P15" s="184" t="s">
        <v>401</v>
      </c>
      <c r="Q15" s="184" t="s">
        <v>401</v>
      </c>
      <c r="R15" s="184" t="s">
        <v>401</v>
      </c>
      <c r="S15" s="184" t="s">
        <v>401</v>
      </c>
      <c r="T15" s="184" t="s">
        <v>401</v>
      </c>
      <c r="U15" s="184" t="s">
        <v>401</v>
      </c>
      <c r="V15" s="185" t="s">
        <v>401</v>
      </c>
      <c r="W15" s="51" t="s">
        <v>234</v>
      </c>
      <c r="X15" s="149" t="s">
        <v>401</v>
      </c>
      <c r="Y15" s="189" t="s">
        <v>401</v>
      </c>
      <c r="Z15" s="190" t="s">
        <v>401</v>
      </c>
      <c r="AA15" s="149" t="s">
        <v>401</v>
      </c>
      <c r="AB15" s="149" t="s">
        <v>401</v>
      </c>
      <c r="AC15" s="149" t="s">
        <v>401</v>
      </c>
      <c r="AD15" s="149" t="s">
        <v>401</v>
      </c>
      <c r="AE15" s="149" t="s">
        <v>401</v>
      </c>
      <c r="AF15" s="149" t="s">
        <v>401</v>
      </c>
      <c r="AG15" s="149" t="s">
        <v>401</v>
      </c>
      <c r="AH15" s="149" t="s">
        <v>401</v>
      </c>
      <c r="AI15" s="149" t="s">
        <v>401</v>
      </c>
      <c r="AJ15" s="149" t="s">
        <v>401</v>
      </c>
      <c r="AK15" s="149" t="s">
        <v>401</v>
      </c>
      <c r="AL15" s="149" t="s">
        <v>401</v>
      </c>
      <c r="AM15" s="149" t="s">
        <v>401</v>
      </c>
      <c r="AN15" s="149" t="s">
        <v>401</v>
      </c>
      <c r="AO15" s="149" t="s">
        <v>401</v>
      </c>
      <c r="AP15" s="149" t="s">
        <v>401</v>
      </c>
      <c r="AQ15" s="149" t="s">
        <v>401</v>
      </c>
      <c r="AR15" s="149" t="s">
        <v>401</v>
      </c>
      <c r="AS15" s="149" t="s">
        <v>401</v>
      </c>
      <c r="AT15" s="149" t="s">
        <v>401</v>
      </c>
      <c r="AU15" s="158" t="s">
        <v>401</v>
      </c>
      <c r="AV15" s="146" t="s">
        <v>401</v>
      </c>
      <c r="AW15" s="51">
        <f>SUMIFS(AW16:AW19,R16:R19,"כן")</f>
        <v>7529.0787</v>
      </c>
      <c r="AX15" s="80">
        <f>SUMIFS(AX16:AX19,R16:R19,"כן")</f>
        <v>276240.65039999998</v>
      </c>
      <c r="AY15" s="53" t="s">
        <v>10</v>
      </c>
    </row>
    <row r="16" spans="1:51" ht="90.75" customHeight="1" thickBot="1" x14ac:dyDescent="0.4">
      <c r="A16" s="155" t="s">
        <v>266</v>
      </c>
      <c r="B16" s="55" t="s">
        <v>267</v>
      </c>
      <c r="C16" s="55" t="str">
        <f>VLOOKUP(3,LT!A1:E14,2,FALSE)</f>
        <v>חינוך רגיל</v>
      </c>
      <c r="D16" s="56" t="s">
        <v>268</v>
      </c>
      <c r="E16" s="55" t="s">
        <v>247</v>
      </c>
      <c r="F16" s="56" t="s">
        <v>269</v>
      </c>
      <c r="G16" s="55">
        <v>30</v>
      </c>
      <c r="H16" s="55">
        <v>60</v>
      </c>
      <c r="I16" s="55">
        <v>4</v>
      </c>
      <c r="J16" s="55">
        <v>0</v>
      </c>
      <c r="K16" s="57">
        <f>0*(VLOOKUP("###VatValue###",AuctionDetails!A1:C28,2,FALSE)+1)*(VLOOKUP("###Commission###",AuctionDetails!A1:C28,2,FALSE)+1)</f>
        <v>0</v>
      </c>
      <c r="L16" s="55">
        <v>1</v>
      </c>
      <c r="M16" s="55">
        <v>0</v>
      </c>
      <c r="N16" s="55">
        <v>0</v>
      </c>
      <c r="O16" s="55">
        <v>3</v>
      </c>
      <c r="P16" s="55">
        <v>5</v>
      </c>
      <c r="Q16" s="55">
        <v>0</v>
      </c>
      <c r="R16" s="55" t="s">
        <v>8</v>
      </c>
      <c r="S16" s="148" t="s">
        <v>401</v>
      </c>
      <c r="T16" s="57">
        <f>0*(VLOOKUP("###VatValue###",AuctionDetails!A1:C28,2,FALSE)+1)*(VLOOKUP("###Commission###",AuctionDetails!A1:C28,2,FALSE)+1)</f>
        <v>0</v>
      </c>
      <c r="U16" s="148" t="s">
        <v>401</v>
      </c>
      <c r="V16" s="58">
        <v>550</v>
      </c>
      <c r="W16" s="60" t="s">
        <v>234</v>
      </c>
      <c r="X16" s="88" t="s">
        <v>391</v>
      </c>
      <c r="Y16" s="93">
        <f t="shared" si="1"/>
        <v>151.52499999999998</v>
      </c>
      <c r="Z16" s="96">
        <v>80.5</v>
      </c>
      <c r="AA16" s="149" t="s">
        <v>401</v>
      </c>
      <c r="AB16" s="88" t="s">
        <v>234</v>
      </c>
      <c r="AC16" s="88" t="s">
        <v>234</v>
      </c>
      <c r="AD16" s="88" t="s">
        <v>234</v>
      </c>
      <c r="AE16" s="88">
        <f>163.4*VLOOKUP(50427,StageData!A2:H24,7,FALSE)*VLOOKUP(50427,StageData!A2:H24,8,FALSE)</f>
        <v>199.78100999999998</v>
      </c>
      <c r="AF16" s="88">
        <f>155*VLOOKUP(50427,StageData!A2:H24,7,FALSE)*VLOOKUP(50427,StageData!A2:H24,8,FALSE)</f>
        <v>189.51074999999997</v>
      </c>
      <c r="AG16" s="88">
        <f>((P16*O16)+(N16*M16))*L16*(K16+AF16)</f>
        <v>2842.6612499999997</v>
      </c>
      <c r="AH16" s="88">
        <f>(K16+AF16)*L16*V16</f>
        <v>104230.91249999999</v>
      </c>
      <c r="AI16" s="88">
        <f>161*VLOOKUP(50424,StageData!A2:H24,7,FALSE)*VLOOKUP(50424,StageData!A2:H24,8,FALSE)</f>
        <v>196.84664999999995</v>
      </c>
      <c r="AJ16" s="149" t="s">
        <v>401</v>
      </c>
      <c r="AK16" s="88">
        <f>145*VLOOKUP(50424,StageData!A2:H24,7,FALSE)*VLOOKUP(50424,StageData!A2:H24,8,FALSE)</f>
        <v>177.28424999999996</v>
      </c>
      <c r="AL16" s="88">
        <f>((P16*O16)+(N16*M16))*L16*(K16+AK16)</f>
        <v>2659.2637499999992</v>
      </c>
      <c r="AM16" s="88">
        <f>(K16+AK16)*L16*V16</f>
        <v>97506.33749999998</v>
      </c>
      <c r="AN16" s="88">
        <f>155*VLOOKUP(50423,StageData!A2:H24,7,FALSE)*VLOOKUP(50423,StageData!A2:H24,8,FALSE)</f>
        <v>189.51074999999997</v>
      </c>
      <c r="AO16" s="149" t="s">
        <v>401</v>
      </c>
      <c r="AP16" s="149" t="s">
        <v>401</v>
      </c>
      <c r="AQ16" s="88">
        <f>154*VLOOKUP(50423,StageData!A2:H24,7,FALSE)*VLOOKUP(50423,StageData!A2:H24,8,FALSE)</f>
        <v>188.28809999999996</v>
      </c>
      <c r="AR16" s="88">
        <f>((P16*O16)+(N16*M16))*L16*(K16+AQ16)</f>
        <v>2824.3214999999996</v>
      </c>
      <c r="AS16" s="88">
        <f>(K16+AQ16)*L16*V16</f>
        <v>103558.45499999997</v>
      </c>
      <c r="AT16" s="88">
        <f>163.3*VLOOKUP(50425,StageData!A2:H24,7,FALSE)*VLOOKUP(50425,StageData!A2:H24,8,FALSE)</f>
        <v>199.65874500000001</v>
      </c>
      <c r="AU16" s="157">
        <f t="shared" si="0"/>
        <v>71.024999999999977</v>
      </c>
      <c r="AV16" s="75">
        <f>155*VLOOKUP(50425,StageData!A2:H24,7,FALSE)*VLOOKUP(50425,StageData!A2:H24,8,FALSE)</f>
        <v>189.51074999999997</v>
      </c>
      <c r="AW16" s="59">
        <f>((P16*O16)+(N16*M16))*L16*(K16+AV16)</f>
        <v>2842.6612499999997</v>
      </c>
      <c r="AX16" s="81">
        <f>(K16+AV16)*L16*V16</f>
        <v>104230.91249999999</v>
      </c>
      <c r="AY16" s="62"/>
    </row>
    <row r="17" spans="1:51" ht="95.25" customHeight="1" thickBot="1" x14ac:dyDescent="0.4">
      <c r="A17" s="155" t="s">
        <v>270</v>
      </c>
      <c r="B17" s="55" t="s">
        <v>271</v>
      </c>
      <c r="C17" s="55" t="str">
        <f>VLOOKUP(7,LT!A1:E14,2,FALSE)</f>
        <v>חינוך רגיל -חד שבועי</v>
      </c>
      <c r="D17" s="56" t="s">
        <v>268</v>
      </c>
      <c r="E17" s="55" t="s">
        <v>247</v>
      </c>
      <c r="F17" s="56" t="s">
        <v>272</v>
      </c>
      <c r="G17" s="55">
        <v>30</v>
      </c>
      <c r="H17" s="55">
        <v>60</v>
      </c>
      <c r="I17" s="55">
        <v>4</v>
      </c>
      <c r="J17" s="55">
        <v>0</v>
      </c>
      <c r="K17" s="57">
        <f>0*(VLOOKUP("###VatValue###",AuctionDetails!A1:C28,2,FALSE)+1)*(VLOOKUP("###Commission###",AuctionDetails!A1:C28,2,FALSE)+1)</f>
        <v>0</v>
      </c>
      <c r="L17" s="55">
        <v>1</v>
      </c>
      <c r="M17" s="55">
        <v>0</v>
      </c>
      <c r="N17" s="55">
        <v>0</v>
      </c>
      <c r="O17" s="55">
        <v>1</v>
      </c>
      <c r="P17" s="55">
        <v>1</v>
      </c>
      <c r="Q17" s="55">
        <v>0</v>
      </c>
      <c r="R17" s="55" t="s">
        <v>8</v>
      </c>
      <c r="S17" s="148" t="s">
        <v>401</v>
      </c>
      <c r="T17" s="57">
        <f>0*(VLOOKUP("###VatValue###",AuctionDetails!A1:C28,2,FALSE)+1)*(VLOOKUP("###Commission###",AuctionDetails!A1:C28,2,FALSE)+1)</f>
        <v>0</v>
      </c>
      <c r="U17" s="148" t="s">
        <v>401</v>
      </c>
      <c r="V17" s="58">
        <v>37</v>
      </c>
      <c r="W17" s="60" t="s">
        <v>234</v>
      </c>
      <c r="X17" s="88" t="s">
        <v>391</v>
      </c>
      <c r="Y17" s="93">
        <f t="shared" si="1"/>
        <v>172.42499999999998</v>
      </c>
      <c r="Z17" s="96">
        <v>36.6</v>
      </c>
      <c r="AA17" s="149" t="s">
        <v>401</v>
      </c>
      <c r="AB17" s="88" t="s">
        <v>234</v>
      </c>
      <c r="AC17" s="88" t="s">
        <v>234</v>
      </c>
      <c r="AD17" s="88" t="s">
        <v>234</v>
      </c>
      <c r="AE17" s="88">
        <f>212.4*VLOOKUP(50427,StageData!A2:H24,7,FALSE)*VLOOKUP(50427,StageData!A2:H24,8,FALSE)</f>
        <v>259.69085999999999</v>
      </c>
      <c r="AF17" s="88">
        <f>175*VLOOKUP(50427,StageData!A2:H24,7,FALSE)*VLOOKUP(50427,StageData!A2:H24,8,FALSE)</f>
        <v>213.96374999999998</v>
      </c>
      <c r="AG17" s="88">
        <f>((P17*O17)+(N17*M17))*L17*(K17+AF17)</f>
        <v>213.96374999999998</v>
      </c>
      <c r="AH17" s="88">
        <f>(K17+AF17)*L17*V17</f>
        <v>7916.6587499999987</v>
      </c>
      <c r="AI17" s="88">
        <f>209.3*VLOOKUP(50424,StageData!A2:H24,7,FALSE)*VLOOKUP(50424,StageData!A2:H24,8,FALSE)</f>
        <v>255.900645</v>
      </c>
      <c r="AJ17" s="149" t="s">
        <v>401</v>
      </c>
      <c r="AK17" s="88">
        <f>165*VLOOKUP(50424,StageData!A2:H24,7,FALSE)*VLOOKUP(50424,StageData!A2:H24,8,FALSE)</f>
        <v>201.73724999999996</v>
      </c>
      <c r="AL17" s="88">
        <f>((P17*O17)+(N17*M17))*L17*(K17+AK17)</f>
        <v>201.73724999999996</v>
      </c>
      <c r="AM17" s="88">
        <f>(K17+AK17)*L17*V17</f>
        <v>7464.2782499999985</v>
      </c>
      <c r="AN17" s="88">
        <f>201.5*VLOOKUP(50423,StageData!A2:H24,7,FALSE)*VLOOKUP(50423,StageData!A2:H24,8,FALSE)</f>
        <v>246.36397499999998</v>
      </c>
      <c r="AO17" s="149" t="s">
        <v>401</v>
      </c>
      <c r="AP17" s="149" t="s">
        <v>401</v>
      </c>
      <c r="AQ17" s="88">
        <f>154*VLOOKUP(50423,StageData!A2:H24,7,FALSE)*VLOOKUP(50423,StageData!A2:H24,8,FALSE)</f>
        <v>188.28809999999996</v>
      </c>
      <c r="AR17" s="88">
        <f>((P17*O17)+(N17*M17))*L17*(K17+AQ17)</f>
        <v>188.28809999999996</v>
      </c>
      <c r="AS17" s="88">
        <f>(K17+AQ17)*L17*V17</f>
        <v>6966.6596999999983</v>
      </c>
      <c r="AT17" s="88">
        <f>212.3*VLOOKUP(50425,StageData!A2:H24,7,FALSE)*VLOOKUP(50425,StageData!A2:H24,8,FALSE)</f>
        <v>259.56859499999996</v>
      </c>
      <c r="AU17" s="157">
        <f t="shared" si="0"/>
        <v>135.82499999999999</v>
      </c>
      <c r="AV17" s="75">
        <f>202*VLOOKUP(50425,StageData!A2:H24,7,FALSE)*VLOOKUP(50425,StageData!A2:H24,8,FALSE)</f>
        <v>246.97529999999995</v>
      </c>
      <c r="AW17" s="59">
        <f>((P17*O17)+(N17*M17))*L17*(K17+AV17)</f>
        <v>246.97529999999995</v>
      </c>
      <c r="AX17" s="81">
        <f>(K17+AV17)*L17*V17</f>
        <v>9138.0860999999986</v>
      </c>
      <c r="AY17" s="62"/>
    </row>
    <row r="18" spans="1:51" ht="102.75" customHeight="1" thickBot="1" x14ac:dyDescent="0.4">
      <c r="A18" s="155" t="s">
        <v>273</v>
      </c>
      <c r="B18" s="55" t="s">
        <v>274</v>
      </c>
      <c r="C18" s="55" t="str">
        <f>VLOOKUP(3,LT!A1:E14,2,FALSE)</f>
        <v>חינוך רגיל</v>
      </c>
      <c r="D18" s="56" t="s">
        <v>268</v>
      </c>
      <c r="E18" s="55" t="s">
        <v>238</v>
      </c>
      <c r="F18" s="56" t="s">
        <v>275</v>
      </c>
      <c r="G18" s="55">
        <v>30</v>
      </c>
      <c r="H18" s="55">
        <v>60</v>
      </c>
      <c r="I18" s="55">
        <v>10</v>
      </c>
      <c r="J18" s="55">
        <v>0</v>
      </c>
      <c r="K18" s="57">
        <f>0*(VLOOKUP("###VatValue###",AuctionDetails!A1:C28,2,FALSE)+1)*(VLOOKUP("###Commission###",AuctionDetails!A1:C28,2,FALSE)+1)</f>
        <v>0</v>
      </c>
      <c r="L18" s="55">
        <v>1</v>
      </c>
      <c r="M18" s="55">
        <v>0</v>
      </c>
      <c r="N18" s="55">
        <v>0</v>
      </c>
      <c r="O18" s="55">
        <v>3</v>
      </c>
      <c r="P18" s="55">
        <v>5</v>
      </c>
      <c r="Q18" s="55">
        <v>0</v>
      </c>
      <c r="R18" s="55" t="s">
        <v>8</v>
      </c>
      <c r="S18" s="148" t="s">
        <v>401</v>
      </c>
      <c r="T18" s="57">
        <f>0*(VLOOKUP("###VatValue###",AuctionDetails!A1:C28,2,FALSE)+1)*(VLOOKUP("###Commission###",AuctionDetails!A1:C28,2,FALSE)+1)</f>
        <v>0</v>
      </c>
      <c r="U18" s="148" t="s">
        <v>401</v>
      </c>
      <c r="V18" s="58">
        <v>550</v>
      </c>
      <c r="W18" s="60" t="s">
        <v>234</v>
      </c>
      <c r="X18" s="88" t="s">
        <v>391</v>
      </c>
      <c r="Y18" s="93">
        <f t="shared" si="1"/>
        <v>188.1</v>
      </c>
      <c r="Z18" s="96">
        <v>93</v>
      </c>
      <c r="AA18" s="149" t="s">
        <v>401</v>
      </c>
      <c r="AB18" s="88" t="s">
        <v>234</v>
      </c>
      <c r="AC18" s="88" t="s">
        <v>234</v>
      </c>
      <c r="AD18" s="88" t="s">
        <v>234</v>
      </c>
      <c r="AE18" s="88">
        <f>238.8*VLOOKUP(50427,StageData!A2:H24,7,FALSE)*VLOOKUP(50427,StageData!A2:H24,8,FALSE)</f>
        <v>291.96881999999999</v>
      </c>
      <c r="AF18" s="88">
        <f>190*VLOOKUP(50427,StageData!A2:H24,7,FALSE)*VLOOKUP(50427,StageData!A2:H24,8,FALSE)</f>
        <v>232.30349999999996</v>
      </c>
      <c r="AG18" s="88">
        <f>((P18*O18)+(N18*M18))*L18*(K18+AF18)</f>
        <v>3484.5524999999993</v>
      </c>
      <c r="AH18" s="88">
        <f>(K18+AF18)*L18*V18</f>
        <v>127766.92499999997</v>
      </c>
      <c r="AI18" s="88">
        <f>235.4*VLOOKUP(50424,StageData!A2:H24,7,FALSE)*VLOOKUP(50424,StageData!A2:H24,8,FALSE)</f>
        <v>287.81180999999998</v>
      </c>
      <c r="AJ18" s="149" t="s">
        <v>401</v>
      </c>
      <c r="AK18" s="88">
        <f>180*VLOOKUP(50424,StageData!A2:H24,7,FALSE)*VLOOKUP(50424,StageData!A2:H24,8,FALSE)</f>
        <v>220.07699999999997</v>
      </c>
      <c r="AL18" s="88">
        <f>((P18*O18)+(N18*M18))*L18*(K18+AK18)</f>
        <v>3301.1549999999997</v>
      </c>
      <c r="AM18" s="88">
        <f>(K18+AK18)*L18*V18</f>
        <v>121042.34999999998</v>
      </c>
      <c r="AN18" s="88">
        <f>226.9*VLOOKUP(50423,StageData!A2:H24,7,FALSE)*VLOOKUP(50423,StageData!A2:H24,8,FALSE)</f>
        <v>277.419285</v>
      </c>
      <c r="AO18" s="149" t="s">
        <v>401</v>
      </c>
      <c r="AP18" s="149" t="s">
        <v>401</v>
      </c>
      <c r="AQ18" s="88">
        <f>224*VLOOKUP(50423,StageData!A2:H24,7,FALSE)*VLOOKUP(50423,StageData!A2:H24,8,FALSE)</f>
        <v>273.87359999999995</v>
      </c>
      <c r="AR18" s="88">
        <f>((P18*O18)+(N18*M18))*L18*(K18+AQ18)</f>
        <v>4108.1039999999994</v>
      </c>
      <c r="AS18" s="88">
        <f>(K18+AQ18)*L18*V18</f>
        <v>150630.47999999998</v>
      </c>
      <c r="AT18" s="88">
        <f>238.6*VLOOKUP(50425,StageData!A2:H24,7,FALSE)*VLOOKUP(50425,StageData!A2:H24,8,FALSE)</f>
        <v>291.72429</v>
      </c>
      <c r="AU18" s="157">
        <f t="shared" si="0"/>
        <v>95.1</v>
      </c>
      <c r="AV18" s="75">
        <f>227*VLOOKUP(50425,StageData!A2:H24,7,FALSE)*VLOOKUP(50425,StageData!A2:H24,8,FALSE)</f>
        <v>277.54154999999997</v>
      </c>
      <c r="AW18" s="59">
        <f>((P18*O18)+(N18*M18))*L18*(K18+AV18)</f>
        <v>4163.1232499999996</v>
      </c>
      <c r="AX18" s="81">
        <f>(K18+AV18)*L18*V18</f>
        <v>152647.85249999998</v>
      </c>
      <c r="AY18" s="62"/>
    </row>
    <row r="19" spans="1:51" ht="96.75" customHeight="1" thickBot="1" x14ac:dyDescent="0.4">
      <c r="A19" s="155" t="s">
        <v>276</v>
      </c>
      <c r="B19" s="55" t="s">
        <v>277</v>
      </c>
      <c r="C19" s="55" t="str">
        <f>VLOOKUP(7,LT!A1:E14,2,FALSE)</f>
        <v>חינוך רגיל -חד שבועי</v>
      </c>
      <c r="D19" s="56" t="s">
        <v>268</v>
      </c>
      <c r="E19" s="55" t="s">
        <v>238</v>
      </c>
      <c r="F19" s="56" t="s">
        <v>278</v>
      </c>
      <c r="G19" s="55">
        <v>30</v>
      </c>
      <c r="H19" s="55">
        <v>60</v>
      </c>
      <c r="I19" s="55">
        <v>10</v>
      </c>
      <c r="J19" s="55">
        <v>0</v>
      </c>
      <c r="K19" s="57">
        <f>0*(VLOOKUP("###VatValue###",AuctionDetails!A1:C28,2,FALSE)+1)*(VLOOKUP("###Commission###",AuctionDetails!A1:C28,2,FALSE)+1)</f>
        <v>0</v>
      </c>
      <c r="L19" s="55">
        <v>1</v>
      </c>
      <c r="M19" s="55">
        <v>0</v>
      </c>
      <c r="N19" s="55">
        <v>0</v>
      </c>
      <c r="O19" s="55">
        <v>1</v>
      </c>
      <c r="P19" s="55">
        <v>1</v>
      </c>
      <c r="Q19" s="55">
        <v>0</v>
      </c>
      <c r="R19" s="55" t="s">
        <v>8</v>
      </c>
      <c r="S19" s="148" t="s">
        <v>401</v>
      </c>
      <c r="T19" s="57">
        <f>0*(VLOOKUP("###VatValue###",AuctionDetails!A1:C28,2,FALSE)+1)*(VLOOKUP("###Commission###",AuctionDetails!A1:C28,2,FALSE)+1)</f>
        <v>0</v>
      </c>
      <c r="U19" s="148" t="s">
        <v>401</v>
      </c>
      <c r="V19" s="58">
        <v>37</v>
      </c>
      <c r="W19" s="60" t="s">
        <v>234</v>
      </c>
      <c r="X19" s="88" t="s">
        <v>391</v>
      </c>
      <c r="Y19" s="93">
        <f t="shared" si="1"/>
        <v>188.1</v>
      </c>
      <c r="Z19" s="96">
        <v>101.4</v>
      </c>
      <c r="AA19" s="149" t="s">
        <v>401</v>
      </c>
      <c r="AB19" s="88" t="s">
        <v>234</v>
      </c>
      <c r="AC19" s="88" t="s">
        <v>234</v>
      </c>
      <c r="AD19" s="88" t="s">
        <v>234</v>
      </c>
      <c r="AE19" s="88">
        <f>238.8*VLOOKUP(50427,StageData!A2:H24,7,FALSE)*VLOOKUP(50427,StageData!A2:H24,8,FALSE)</f>
        <v>291.96881999999999</v>
      </c>
      <c r="AF19" s="88">
        <f>190*VLOOKUP(50427,StageData!A2:H24,7,FALSE)*VLOOKUP(50427,StageData!A2:H24,8,FALSE)</f>
        <v>232.30349999999996</v>
      </c>
      <c r="AG19" s="88">
        <f>((P19*O19)+(N19*M19))*L19*(K19+AF19)</f>
        <v>232.30349999999996</v>
      </c>
      <c r="AH19" s="88">
        <f>(K19+AF19)*L19*V19</f>
        <v>8595.2294999999976</v>
      </c>
      <c r="AI19" s="88">
        <f>235.4*VLOOKUP(50424,StageData!A2:H24,7,FALSE)*VLOOKUP(50424,StageData!A2:H24,8,FALSE)</f>
        <v>287.81180999999998</v>
      </c>
      <c r="AJ19" s="149" t="s">
        <v>401</v>
      </c>
      <c r="AK19" s="88">
        <f>180*VLOOKUP(50424,StageData!A2:H24,7,FALSE)*VLOOKUP(50424,StageData!A2:H24,8,FALSE)</f>
        <v>220.07699999999997</v>
      </c>
      <c r="AL19" s="88">
        <f>((P19*O19)+(N19*M19))*L19*(K19+AK19)</f>
        <v>220.07699999999997</v>
      </c>
      <c r="AM19" s="88">
        <f>(K19+AK19)*L19*V19</f>
        <v>8142.8489999999993</v>
      </c>
      <c r="AN19" s="88">
        <f>226.9*VLOOKUP(50423,StageData!A2:H24,7,FALSE)*VLOOKUP(50423,StageData!A2:H24,8,FALSE)</f>
        <v>277.419285</v>
      </c>
      <c r="AO19" s="149" t="s">
        <v>401</v>
      </c>
      <c r="AP19" s="149" t="s">
        <v>401</v>
      </c>
      <c r="AQ19" s="88">
        <f>224*VLOOKUP(50423,StageData!A2:H24,7,FALSE)*VLOOKUP(50423,StageData!A2:H24,8,FALSE)</f>
        <v>273.87359999999995</v>
      </c>
      <c r="AR19" s="88">
        <f>((P19*O19)+(N19*M19))*L19*(K19+AQ19)</f>
        <v>273.87359999999995</v>
      </c>
      <c r="AS19" s="88">
        <f>(K19+AQ19)*L19*V19</f>
        <v>10133.323199999999</v>
      </c>
      <c r="AT19" s="88">
        <f>238.6*VLOOKUP(50425,StageData!A2:H24,7,FALSE)*VLOOKUP(50425,StageData!A2:H24,8,FALSE)</f>
        <v>291.72429</v>
      </c>
      <c r="AU19" s="157">
        <f t="shared" si="0"/>
        <v>86.699999999999989</v>
      </c>
      <c r="AV19" s="75">
        <f>226*VLOOKUP(50425,StageData!A2:H24,7,FALSE)*VLOOKUP(50425,StageData!A2:H24,8,FALSE)</f>
        <v>276.31889999999999</v>
      </c>
      <c r="AW19" s="59">
        <f>((P19*O19)+(N19*M19))*L19*(K19+AV19)</f>
        <v>276.31889999999999</v>
      </c>
      <c r="AX19" s="81">
        <f>(K19+AV19)*L19*V19</f>
        <v>10223.799299999999</v>
      </c>
      <c r="AY19" s="62"/>
    </row>
    <row r="20" spans="1:51" s="54" customFormat="1" ht="58.5" customHeight="1" thickBot="1" x14ac:dyDescent="0.4">
      <c r="A20" s="99" t="s">
        <v>279</v>
      </c>
      <c r="B20" s="184" t="s">
        <v>401</v>
      </c>
      <c r="C20" s="184" t="s">
        <v>401</v>
      </c>
      <c r="D20" s="184" t="s">
        <v>401</v>
      </c>
      <c r="E20" s="184" t="s">
        <v>401</v>
      </c>
      <c r="F20" s="184" t="s">
        <v>401</v>
      </c>
      <c r="G20" s="184" t="s">
        <v>401</v>
      </c>
      <c r="H20" s="184" t="s">
        <v>401</v>
      </c>
      <c r="I20" s="184" t="s">
        <v>401</v>
      </c>
      <c r="J20" s="184" t="s">
        <v>401</v>
      </c>
      <c r="K20" s="184" t="s">
        <v>401</v>
      </c>
      <c r="L20" s="184" t="s">
        <v>401</v>
      </c>
      <c r="M20" s="184" t="s">
        <v>401</v>
      </c>
      <c r="N20" s="184" t="s">
        <v>401</v>
      </c>
      <c r="O20" s="184" t="s">
        <v>401</v>
      </c>
      <c r="P20" s="184" t="s">
        <v>401</v>
      </c>
      <c r="Q20" s="184" t="s">
        <v>401</v>
      </c>
      <c r="R20" s="184" t="s">
        <v>401</v>
      </c>
      <c r="S20" s="184" t="s">
        <v>401</v>
      </c>
      <c r="T20" s="184" t="s">
        <v>401</v>
      </c>
      <c r="U20" s="184" t="s">
        <v>401</v>
      </c>
      <c r="V20" s="185" t="s">
        <v>401</v>
      </c>
      <c r="W20" s="51">
        <f>220017.71*VLOOKUP(50426,StageData!A2:H24,7,FALSE)*VLOOKUP(50426,StageData!A2:H24,8,FALSE)</f>
        <v>269004.65313149994</v>
      </c>
      <c r="X20" s="149" t="s">
        <v>401</v>
      </c>
      <c r="Y20" s="189" t="s">
        <v>401</v>
      </c>
      <c r="Z20" s="190" t="s">
        <v>401</v>
      </c>
      <c r="AA20" s="149" t="s">
        <v>401</v>
      </c>
      <c r="AB20" s="149" t="s">
        <v>401</v>
      </c>
      <c r="AC20" s="149" t="s">
        <v>401</v>
      </c>
      <c r="AD20" s="149" t="s">
        <v>401</v>
      </c>
      <c r="AE20" s="149" t="s">
        <v>401</v>
      </c>
      <c r="AF20" s="149" t="s">
        <v>401</v>
      </c>
      <c r="AG20" s="149" t="s">
        <v>401</v>
      </c>
      <c r="AH20" s="149" t="s">
        <v>401</v>
      </c>
      <c r="AI20" s="149" t="s">
        <v>401</v>
      </c>
      <c r="AJ20" s="149" t="s">
        <v>401</v>
      </c>
      <c r="AK20" s="149" t="s">
        <v>401</v>
      </c>
      <c r="AL20" s="149" t="s">
        <v>401</v>
      </c>
      <c r="AM20" s="149" t="s">
        <v>401</v>
      </c>
      <c r="AN20" s="149" t="s">
        <v>401</v>
      </c>
      <c r="AO20" s="149" t="s">
        <v>401</v>
      </c>
      <c r="AP20" s="149" t="s">
        <v>401</v>
      </c>
      <c r="AQ20" s="149" t="s">
        <v>401</v>
      </c>
      <c r="AR20" s="149" t="s">
        <v>401</v>
      </c>
      <c r="AS20" s="149" t="s">
        <v>401</v>
      </c>
      <c r="AT20" s="149" t="s">
        <v>401</v>
      </c>
      <c r="AU20" s="158" t="s">
        <v>401</v>
      </c>
      <c r="AV20" s="146" t="s">
        <v>401</v>
      </c>
      <c r="AW20" s="51">
        <f>SUMIFS(AW21:AW22,R21:R22,"כן")</f>
        <v>5440.7924999999996</v>
      </c>
      <c r="AX20" s="80">
        <f>SUMIFS(AX21:AX22,R21:R22,"כן")</f>
        <v>254085.00974999997</v>
      </c>
      <c r="AY20" s="53" t="s">
        <v>14</v>
      </c>
    </row>
    <row r="21" spans="1:51" ht="96.75" customHeight="1" thickBot="1" x14ac:dyDescent="0.4">
      <c r="A21" s="155" t="s">
        <v>280</v>
      </c>
      <c r="B21" s="55" t="s">
        <v>281</v>
      </c>
      <c r="C21" s="55" t="str">
        <f>VLOOKUP(2,LT!A1:E14,2,FALSE)</f>
        <v>רווחה</v>
      </c>
      <c r="D21" s="56" t="s">
        <v>282</v>
      </c>
      <c r="E21" s="55" t="s">
        <v>238</v>
      </c>
      <c r="F21" s="56" t="s">
        <v>283</v>
      </c>
      <c r="G21" s="55">
        <v>25</v>
      </c>
      <c r="H21" s="55">
        <v>60</v>
      </c>
      <c r="I21" s="55">
        <v>10</v>
      </c>
      <c r="J21" s="55">
        <v>0</v>
      </c>
      <c r="K21" s="57">
        <f>0*(VLOOKUP("###VatValue###",AuctionDetails!A1:C28,2,FALSE)+1)*(VLOOKUP("###Commission###",AuctionDetails!A1:C28,2,FALSE)+1)</f>
        <v>0</v>
      </c>
      <c r="L21" s="55">
        <v>1</v>
      </c>
      <c r="M21" s="55">
        <v>1</v>
      </c>
      <c r="N21" s="55">
        <v>5</v>
      </c>
      <c r="O21" s="55">
        <v>1</v>
      </c>
      <c r="P21" s="55">
        <v>5</v>
      </c>
      <c r="Q21" s="55">
        <v>0</v>
      </c>
      <c r="R21" s="55" t="s">
        <v>8</v>
      </c>
      <c r="S21" s="148" t="s">
        <v>401</v>
      </c>
      <c r="T21" s="57">
        <f>0*(VLOOKUP("###VatValue###",AuctionDetails!A1:C28,2,FALSE)+1)*(VLOOKUP("###Commission###",AuctionDetails!A1:C28,2,FALSE)+1)</f>
        <v>0</v>
      </c>
      <c r="U21" s="148" t="s">
        <v>401</v>
      </c>
      <c r="V21" s="58">
        <v>467</v>
      </c>
      <c r="W21" s="60">
        <f>210.4*VLOOKUP(50426,StageData!A2:H24,7,FALSE)*VLOOKUP(50426,StageData!A2:H24,8,FALSE)</f>
        <v>257.24555999999995</v>
      </c>
      <c r="X21" s="88" t="s">
        <v>392</v>
      </c>
      <c r="Y21" s="93">
        <f>AB21/1.17</f>
        <v>193.32499999999999</v>
      </c>
      <c r="Z21" s="96">
        <v>156.80000000000001</v>
      </c>
      <c r="AA21" s="149" t="s">
        <v>401</v>
      </c>
      <c r="AB21" s="88">
        <f>185*VLOOKUP(50426,StageData!A2:H24,7,FALSE)*VLOOKUP(50426,StageData!A2:H24,8,FALSE)</f>
        <v>226.19024999999996</v>
      </c>
      <c r="AC21" s="88">
        <f>((P21*O21)+(N21*M21))*L21*(K21+AB21)</f>
        <v>2261.9024999999997</v>
      </c>
      <c r="AD21" s="88">
        <f>(K21+AB21)*L21*V21</f>
        <v>105630.84674999998</v>
      </c>
      <c r="AE21" s="88">
        <f>222.3*VLOOKUP(50427,StageData!A2:H24,7,FALSE)*VLOOKUP(50427,StageData!A2:H24,8,FALSE)</f>
        <v>271.79509499999995</v>
      </c>
      <c r="AF21" s="88">
        <f>180*VLOOKUP(50427,StageData!A2:H24,7,FALSE)*VLOOKUP(50427,StageData!A2:H24,8,FALSE)</f>
        <v>220.07699999999997</v>
      </c>
      <c r="AG21" s="88">
        <f>((P21*O21)+(N21*M21))*L21*(K21+AF21)</f>
        <v>2200.7699999999995</v>
      </c>
      <c r="AH21" s="88">
        <f>(K21+AF21)*L21*V21</f>
        <v>102775.95899999999</v>
      </c>
      <c r="AI21" s="88">
        <f>218.9*VLOOKUP(50424,StageData!A2:H24,7,FALSE)*VLOOKUP(50424,StageData!A2:H24,8,FALSE)</f>
        <v>267.63808499999999</v>
      </c>
      <c r="AJ21" s="149" t="s">
        <v>401</v>
      </c>
      <c r="AK21" s="88">
        <f>218*VLOOKUP(50424,StageData!A2:H24,7,FALSE)*VLOOKUP(50424,StageData!A2:H24,8,FALSE)</f>
        <v>266.53769999999997</v>
      </c>
      <c r="AL21" s="88">
        <f>((P21*O21)+(N21*M21))*L21*(K21+AK21)</f>
        <v>2665.3769999999995</v>
      </c>
      <c r="AM21" s="88">
        <f>(K21+AK21)*L21*V21</f>
        <v>124473.10589999998</v>
      </c>
      <c r="AN21" s="88">
        <f>210.4*VLOOKUP(50423,StageData!A2:H24,7,FALSE)*VLOOKUP(50423,StageData!A2:H24,8,FALSE)</f>
        <v>257.24555999999995</v>
      </c>
      <c r="AO21" s="149" t="s">
        <v>401</v>
      </c>
      <c r="AP21" s="149" t="s">
        <v>401</v>
      </c>
      <c r="AQ21" s="88">
        <f>208*VLOOKUP(50423,StageData!A2:H24,7,FALSE)*VLOOKUP(50423,StageData!A2:H24,8,FALSE)</f>
        <v>254.31119999999996</v>
      </c>
      <c r="AR21" s="88">
        <f>((P21*O21)+(N21*M21))*L21*(K21+AQ21)</f>
        <v>2543.1119999999996</v>
      </c>
      <c r="AS21" s="88">
        <f>(K21+AQ21)*L21*V21</f>
        <v>118763.33039999998</v>
      </c>
      <c r="AT21" s="88">
        <f>222.1*VLOOKUP(50425,StageData!A2:H24,7,FALSE)*VLOOKUP(50425,StageData!A2:H24,8,FALSE)</f>
        <v>271.55056499999995</v>
      </c>
      <c r="AU21" s="157">
        <f t="shared" si="0"/>
        <v>36.524999999999977</v>
      </c>
      <c r="AV21" s="75">
        <f>205*VLOOKUP(50425,StageData!A2:H24,7,FALSE)*VLOOKUP(50425,StageData!A2:H24,8,FALSE)</f>
        <v>250.64324999999997</v>
      </c>
      <c r="AW21" s="59">
        <f>((P21*O21)+(N21*M21))*L21*(K21+AV21)</f>
        <v>2506.4324999999999</v>
      </c>
      <c r="AX21" s="81">
        <f>(K21+AV21)*L21*V21</f>
        <v>117050.39774999999</v>
      </c>
      <c r="AY21" s="62"/>
    </row>
    <row r="22" spans="1:51" ht="96.75" customHeight="1" thickBot="1" x14ac:dyDescent="0.4">
      <c r="A22" s="155" t="s">
        <v>284</v>
      </c>
      <c r="B22" s="55" t="s">
        <v>285</v>
      </c>
      <c r="C22" s="55" t="str">
        <f>VLOOKUP(2,LT!A1:E14,2,FALSE)</f>
        <v>רווחה</v>
      </c>
      <c r="D22" s="56" t="s">
        <v>282</v>
      </c>
      <c r="E22" s="55" t="s">
        <v>242</v>
      </c>
      <c r="F22" s="56" t="s">
        <v>286</v>
      </c>
      <c r="G22" s="55">
        <v>25</v>
      </c>
      <c r="H22" s="55">
        <v>60</v>
      </c>
      <c r="I22" s="55">
        <v>16</v>
      </c>
      <c r="J22" s="55">
        <v>0</v>
      </c>
      <c r="K22" s="57">
        <f>0*(VLOOKUP("###VatValue###",AuctionDetails!A1:C28,2,FALSE)+1)*(VLOOKUP("###Commission###",AuctionDetails!A1:C28,2,FALSE)+1)</f>
        <v>0</v>
      </c>
      <c r="L22" s="55">
        <v>1</v>
      </c>
      <c r="M22" s="55">
        <v>1</v>
      </c>
      <c r="N22" s="55">
        <v>5</v>
      </c>
      <c r="O22" s="55">
        <v>1</v>
      </c>
      <c r="P22" s="55">
        <v>5</v>
      </c>
      <c r="Q22" s="55">
        <v>0</v>
      </c>
      <c r="R22" s="55" t="s">
        <v>8</v>
      </c>
      <c r="S22" s="148" t="s">
        <v>401</v>
      </c>
      <c r="T22" s="57">
        <f>0*(VLOOKUP("###VatValue###",AuctionDetails!A1:C28,2,FALSE)+1)*(VLOOKUP("###Commission###",AuctionDetails!A1:C28,2,FALSE)+1)</f>
        <v>0</v>
      </c>
      <c r="U22" s="148" t="s">
        <v>401</v>
      </c>
      <c r="V22" s="58">
        <v>467</v>
      </c>
      <c r="W22" s="60">
        <f>260.7*VLOOKUP(50426,StageData!A2:H24,7,FALSE)*VLOOKUP(50426,StageData!A2:H24,8,FALSE)</f>
        <v>318.74485499999997</v>
      </c>
      <c r="X22" s="88" t="s">
        <v>392</v>
      </c>
      <c r="Y22" s="93">
        <f>AB22/1.17</f>
        <v>167.2</v>
      </c>
      <c r="Z22" s="96">
        <v>167.2</v>
      </c>
      <c r="AA22" s="149" t="s">
        <v>401</v>
      </c>
      <c r="AB22" s="88">
        <f>160*VLOOKUP(50426,StageData!A2:H24,7,FALSE)*VLOOKUP(50426,StageData!A2:H24,8,FALSE)</f>
        <v>195.62399999999997</v>
      </c>
      <c r="AC22" s="88">
        <f>((P22*O22)+(N22*M22))*L22*(K22+AB22)</f>
        <v>1956.2399999999998</v>
      </c>
      <c r="AD22" s="88">
        <f>(K22+AB22)*L22*V22</f>
        <v>91356.407999999981</v>
      </c>
      <c r="AE22" s="88">
        <f>275.8*VLOOKUP(50427,StageData!A2:H24,7,FALSE)*VLOOKUP(50427,StageData!A2:H24,8,FALSE)</f>
        <v>337.20686999999998</v>
      </c>
      <c r="AF22" s="88">
        <f>195*VLOOKUP(50427,StageData!A2:H24,7,FALSE)*VLOOKUP(50427,StageData!A2:H24,8,FALSE)</f>
        <v>238.41674999999995</v>
      </c>
      <c r="AG22" s="88">
        <f>((P22*O22)+(N22*M22))*L22*(K22+AF22)</f>
        <v>2384.1674999999996</v>
      </c>
      <c r="AH22" s="88">
        <f>(K22+AF22)*L22*V22</f>
        <v>111340.62224999997</v>
      </c>
      <c r="AI22" s="88">
        <f>271.5*VLOOKUP(50424,StageData!A2:H24,7,FALSE)*VLOOKUP(50424,StageData!A2:H24,8,FALSE)</f>
        <v>331.94947499999995</v>
      </c>
      <c r="AJ22" s="149" t="s">
        <v>401</v>
      </c>
      <c r="AK22" s="88">
        <f>271*VLOOKUP(50424,StageData!A2:H24,7,FALSE)*VLOOKUP(50424,StageData!A2:H24,8,FALSE)</f>
        <v>331.33814999999998</v>
      </c>
      <c r="AL22" s="88">
        <f>((P22*O22)+(N22*M22))*L22*(K22+AK22)</f>
        <v>3313.3815</v>
      </c>
      <c r="AM22" s="88">
        <f>(K22+AK22)*L22*V22</f>
        <v>154734.91605</v>
      </c>
      <c r="AN22" s="88">
        <f>260.7*VLOOKUP(50423,StageData!A2:H24,7,FALSE)*VLOOKUP(50423,StageData!A2:H24,8,FALSE)</f>
        <v>318.74485499999997</v>
      </c>
      <c r="AO22" s="149" t="s">
        <v>401</v>
      </c>
      <c r="AP22" s="149" t="s">
        <v>401</v>
      </c>
      <c r="AQ22" s="88">
        <f>250*VLOOKUP(50423,StageData!A2:H24,7,FALSE)*VLOOKUP(50423,StageData!A2:H24,8,FALSE)</f>
        <v>305.66249999999997</v>
      </c>
      <c r="AR22" s="88">
        <f>((P22*O22)+(N22*M22))*L22*(K22+AQ22)</f>
        <v>3056.6249999999995</v>
      </c>
      <c r="AS22" s="88">
        <f>(K22+AQ22)*L22*V22</f>
        <v>142744.38749999998</v>
      </c>
      <c r="AT22" s="88">
        <f>275.5*VLOOKUP(50425,StageData!A2:H24,7,FALSE)*VLOOKUP(50425,StageData!A2:H24,8,FALSE)</f>
        <v>336.84007499999996</v>
      </c>
      <c r="AU22" s="157">
        <f t="shared" si="0"/>
        <v>0</v>
      </c>
      <c r="AV22" s="75">
        <f>240*VLOOKUP(50425,StageData!A2:H24,7,FALSE)*VLOOKUP(50425,StageData!A2:H24,8,FALSE)</f>
        <v>293.43599999999998</v>
      </c>
      <c r="AW22" s="59">
        <f>((P22*O22)+(N22*M22))*L22*(K22+AV22)</f>
        <v>2934.3599999999997</v>
      </c>
      <c r="AX22" s="81">
        <f>(K22+AV22)*L22*V22</f>
        <v>137034.61199999999</v>
      </c>
      <c r="AY22" s="62"/>
    </row>
    <row r="23" spans="1:51" s="54" customFormat="1" ht="58.5" customHeight="1" thickBot="1" x14ac:dyDescent="0.4">
      <c r="A23" s="99" t="s">
        <v>287</v>
      </c>
      <c r="B23" s="184" t="s">
        <v>401</v>
      </c>
      <c r="C23" s="184" t="s">
        <v>401</v>
      </c>
      <c r="D23" s="184" t="s">
        <v>401</v>
      </c>
      <c r="E23" s="184" t="s">
        <v>401</v>
      </c>
      <c r="F23" s="184" t="s">
        <v>401</v>
      </c>
      <c r="G23" s="184" t="s">
        <v>401</v>
      </c>
      <c r="H23" s="184" t="s">
        <v>401</v>
      </c>
      <c r="I23" s="184" t="s">
        <v>401</v>
      </c>
      <c r="J23" s="184" t="s">
        <v>401</v>
      </c>
      <c r="K23" s="184" t="s">
        <v>401</v>
      </c>
      <c r="L23" s="184" t="s">
        <v>401</v>
      </c>
      <c r="M23" s="184" t="s">
        <v>401</v>
      </c>
      <c r="N23" s="184" t="s">
        <v>401</v>
      </c>
      <c r="O23" s="184" t="s">
        <v>401</v>
      </c>
      <c r="P23" s="184" t="s">
        <v>401</v>
      </c>
      <c r="Q23" s="184" t="s">
        <v>401</v>
      </c>
      <c r="R23" s="184" t="s">
        <v>401</v>
      </c>
      <c r="S23" s="184" t="s">
        <v>401</v>
      </c>
      <c r="T23" s="184" t="s">
        <v>401</v>
      </c>
      <c r="U23" s="184" t="s">
        <v>401</v>
      </c>
      <c r="V23" s="185" t="s">
        <v>401</v>
      </c>
      <c r="W23" s="51" t="s">
        <v>232</v>
      </c>
      <c r="X23" s="149" t="s">
        <v>401</v>
      </c>
      <c r="Y23" s="189" t="s">
        <v>401</v>
      </c>
      <c r="Z23" s="190" t="s">
        <v>401</v>
      </c>
      <c r="AA23" s="149" t="s">
        <v>401</v>
      </c>
      <c r="AB23" s="149" t="s">
        <v>401</v>
      </c>
      <c r="AC23" s="149" t="s">
        <v>401</v>
      </c>
      <c r="AD23" s="149" t="s">
        <v>401</v>
      </c>
      <c r="AE23" s="149" t="s">
        <v>401</v>
      </c>
      <c r="AF23" s="149" t="s">
        <v>401</v>
      </c>
      <c r="AG23" s="149" t="s">
        <v>401</v>
      </c>
      <c r="AH23" s="149" t="s">
        <v>401</v>
      </c>
      <c r="AI23" s="149" t="s">
        <v>401</v>
      </c>
      <c r="AJ23" s="149" t="s">
        <v>401</v>
      </c>
      <c r="AK23" s="149" t="s">
        <v>401</v>
      </c>
      <c r="AL23" s="149" t="s">
        <v>401</v>
      </c>
      <c r="AM23" s="149" t="s">
        <v>401</v>
      </c>
      <c r="AN23" s="149" t="s">
        <v>401</v>
      </c>
      <c r="AO23" s="149" t="s">
        <v>401</v>
      </c>
      <c r="AP23" s="149" t="s">
        <v>401</v>
      </c>
      <c r="AQ23" s="149" t="s">
        <v>401</v>
      </c>
      <c r="AR23" s="149" t="s">
        <v>401</v>
      </c>
      <c r="AS23" s="149" t="s">
        <v>401</v>
      </c>
      <c r="AT23" s="149" t="s">
        <v>401</v>
      </c>
      <c r="AU23" s="158" t="s">
        <v>401</v>
      </c>
      <c r="AV23" s="146" t="s">
        <v>401</v>
      </c>
      <c r="AW23" s="51">
        <f>SUMIFS(AW24:AW26,R24:R26,"כן")</f>
        <v>0</v>
      </c>
      <c r="AX23" s="80">
        <f>SUMIFS(AX24:AX26,R24:R26,"כן")</f>
        <v>190733.39999999997</v>
      </c>
      <c r="AY23" s="53" t="s">
        <v>7</v>
      </c>
    </row>
    <row r="24" spans="1:51" ht="96.75" customHeight="1" thickBot="1" x14ac:dyDescent="0.4">
      <c r="A24" s="155" t="s">
        <v>288</v>
      </c>
      <c r="B24" s="55" t="s">
        <v>289</v>
      </c>
      <c r="C24" s="55" t="str">
        <f>VLOOKUP(0,LT!A1:E14,2,FALSE)</f>
        <v>הקפצות</v>
      </c>
      <c r="D24" s="56" t="s">
        <v>290</v>
      </c>
      <c r="E24" s="55" t="s">
        <v>238</v>
      </c>
      <c r="F24" s="56" t="s">
        <v>291</v>
      </c>
      <c r="G24" s="55">
        <v>25</v>
      </c>
      <c r="H24" s="55">
        <v>60</v>
      </c>
      <c r="I24" s="55">
        <v>10</v>
      </c>
      <c r="J24" s="55">
        <v>0</v>
      </c>
      <c r="K24" s="57">
        <f>0*(VLOOKUP("###VatValue###",AuctionDetails!A1:C28,2,FALSE)+1)*(VLOOKUP("###Commission###",AuctionDetails!A1:C28,2,FALSE)+1)</f>
        <v>0</v>
      </c>
      <c r="L24" s="55">
        <v>1</v>
      </c>
      <c r="M24" s="55">
        <v>1</v>
      </c>
      <c r="N24" s="55">
        <v>0</v>
      </c>
      <c r="O24" s="55">
        <v>1</v>
      </c>
      <c r="P24" s="55">
        <v>0</v>
      </c>
      <c r="Q24" s="55">
        <v>100</v>
      </c>
      <c r="R24" s="55" t="s">
        <v>8</v>
      </c>
      <c r="S24" s="148" t="s">
        <v>401</v>
      </c>
      <c r="T24" s="57">
        <f>0*(VLOOKUP("###VatValue###",AuctionDetails!A1:C28,2,FALSE)+1)*(VLOOKUP("###Commission###",AuctionDetails!A1:C28,2,FALSE)+1)</f>
        <v>0</v>
      </c>
      <c r="U24" s="148" t="s">
        <v>401</v>
      </c>
      <c r="V24" s="58">
        <v>200</v>
      </c>
      <c r="W24" s="60" t="s">
        <v>232</v>
      </c>
      <c r="X24" s="88" t="s">
        <v>390</v>
      </c>
      <c r="Y24" s="93">
        <f>AQ24/1.17</f>
        <v>161.97499999999999</v>
      </c>
      <c r="Z24" s="96">
        <v>73.2</v>
      </c>
      <c r="AA24" s="149" t="s">
        <v>401</v>
      </c>
      <c r="AB24" s="88" t="s">
        <v>232</v>
      </c>
      <c r="AC24" s="88" t="s">
        <v>232</v>
      </c>
      <c r="AD24" s="88" t="s">
        <v>232</v>
      </c>
      <c r="AE24" s="88">
        <f>262.7*VLOOKUP(50427,StageData!A2:H24,7,FALSE)*VLOOKUP(50427,StageData!A2:H24,8,FALSE)</f>
        <v>321.19015499999989</v>
      </c>
      <c r="AF24" s="88">
        <f>260*VLOOKUP(50427,StageData!A2:H24,7,FALSE)*VLOOKUP(50427,StageData!A2:H24,8,FALSE)</f>
        <v>317.88899999999995</v>
      </c>
      <c r="AG24" s="88">
        <f>((P24*O24)+(N24*M24))*L24*(K24+AF24)</f>
        <v>0</v>
      </c>
      <c r="AH24" s="88">
        <f>(K24+AF24)*L24*V24</f>
        <v>63577.799999999988</v>
      </c>
      <c r="AI24" s="88">
        <f>258.7*VLOOKUP(50424,StageData!A2:H24,7,FALSE)*VLOOKUP(50424,StageData!A2:H24,8,FALSE)</f>
        <v>316.299555</v>
      </c>
      <c r="AJ24" s="149" t="s">
        <v>401</v>
      </c>
      <c r="AK24" s="88">
        <f>258*VLOOKUP(50424,StageData!A2:H24,7,FALSE)*VLOOKUP(50424,StageData!A2:H24,8,FALSE)</f>
        <v>315.44369999999992</v>
      </c>
      <c r="AL24" s="88">
        <f>((P24*O24)+(N24*M24))*L24*(K24+AK24)</f>
        <v>0</v>
      </c>
      <c r="AM24" s="88">
        <f>(K24+AK24)*L24*V24</f>
        <v>63088.739999999983</v>
      </c>
      <c r="AN24" s="88">
        <f>248.7*VLOOKUP(50423,StageData!A2:H24,7,FALSE)*VLOOKUP(50423,StageData!A2:H24,8,FALSE)</f>
        <v>304.0730549999999</v>
      </c>
      <c r="AO24" s="149" t="s">
        <v>401</v>
      </c>
      <c r="AP24" s="149" t="s">
        <v>401</v>
      </c>
      <c r="AQ24" s="88">
        <f>155*VLOOKUP(50423,StageData!A2:H24,7,FALSE)*VLOOKUP(50423,StageData!A2:H24,8,FALSE)</f>
        <v>189.51074999999997</v>
      </c>
      <c r="AR24" s="88">
        <f>((P24*O24)+(N24*M24))*L24*(K24+AQ24)</f>
        <v>0</v>
      </c>
      <c r="AS24" s="88">
        <f>(K24+AQ24)*L24*V24</f>
        <v>37902.149999999994</v>
      </c>
      <c r="AT24" s="88">
        <f>262.5*VLOOKUP(50425,StageData!A2:H24,7,FALSE)*VLOOKUP(50425,StageData!A2:H24,8,FALSE)</f>
        <v>320.94562500000001</v>
      </c>
      <c r="AU24" s="157">
        <f t="shared" si="0"/>
        <v>88.774999999999991</v>
      </c>
      <c r="AV24" s="75">
        <f>230*VLOOKUP(50425,StageData!A2:H24,7,FALSE)*VLOOKUP(50425,StageData!A2:H24,8,FALSE)</f>
        <v>281.20949999999999</v>
      </c>
      <c r="AW24" s="59">
        <f>((P24*O24)+(N24*M24))*L24*(K24+AV24)</f>
        <v>0</v>
      </c>
      <c r="AX24" s="81">
        <f>(K24+AV24)*L24*V24</f>
        <v>56241.9</v>
      </c>
      <c r="AY24" s="62"/>
    </row>
    <row r="25" spans="1:51" ht="96.75" customHeight="1" thickBot="1" x14ac:dyDescent="0.4">
      <c r="A25" s="155" t="s">
        <v>292</v>
      </c>
      <c r="B25" s="55" t="s">
        <v>293</v>
      </c>
      <c r="C25" s="55" t="str">
        <f>VLOOKUP(0,LT!A1:E14,2,FALSE)</f>
        <v>הקפצות</v>
      </c>
      <c r="D25" s="56" t="s">
        <v>290</v>
      </c>
      <c r="E25" s="55" t="s">
        <v>264</v>
      </c>
      <c r="F25" s="56" t="s">
        <v>291</v>
      </c>
      <c r="G25" s="55">
        <v>25</v>
      </c>
      <c r="H25" s="55">
        <v>60</v>
      </c>
      <c r="I25" s="55">
        <v>14</v>
      </c>
      <c r="J25" s="55">
        <v>0</v>
      </c>
      <c r="K25" s="57">
        <f>0*(VLOOKUP("###VatValue###",AuctionDetails!A1:C28,2,FALSE)+1)*(VLOOKUP("###Commission###",AuctionDetails!A1:C28,2,FALSE)+1)</f>
        <v>0</v>
      </c>
      <c r="L25" s="55">
        <v>1</v>
      </c>
      <c r="M25" s="55">
        <v>1</v>
      </c>
      <c r="N25" s="55">
        <v>0</v>
      </c>
      <c r="O25" s="55">
        <v>1</v>
      </c>
      <c r="P25" s="55">
        <v>0</v>
      </c>
      <c r="Q25" s="55">
        <v>100</v>
      </c>
      <c r="R25" s="55" t="s">
        <v>8</v>
      </c>
      <c r="S25" s="148" t="s">
        <v>401</v>
      </c>
      <c r="T25" s="57">
        <f>0*(VLOOKUP("###VatValue###",AuctionDetails!A1:C28,2,FALSE)+1)*(VLOOKUP("###Commission###",AuctionDetails!A1:C28,2,FALSE)+1)</f>
        <v>0</v>
      </c>
      <c r="U25" s="148" t="s">
        <v>401</v>
      </c>
      <c r="V25" s="58">
        <v>200</v>
      </c>
      <c r="W25" s="60" t="s">
        <v>232</v>
      </c>
      <c r="X25" s="88" t="s">
        <v>390</v>
      </c>
      <c r="Y25" s="93">
        <f>AQ25/1.17</f>
        <v>161.97499999999999</v>
      </c>
      <c r="Z25" s="96">
        <v>73.2</v>
      </c>
      <c r="AA25" s="149" t="s">
        <v>401</v>
      </c>
      <c r="AB25" s="88" t="s">
        <v>232</v>
      </c>
      <c r="AC25" s="88" t="s">
        <v>232</v>
      </c>
      <c r="AD25" s="88" t="s">
        <v>232</v>
      </c>
      <c r="AE25" s="88">
        <f>288.5*VLOOKUP(50427,StageData!A2:H24,7,FALSE)*VLOOKUP(50427,StageData!A2:H24,8,FALSE)</f>
        <v>352.73452499999991</v>
      </c>
      <c r="AF25" s="88">
        <f>280*VLOOKUP(50427,StageData!A2:H24,7,FALSE)*VLOOKUP(50427,StageData!A2:H24,8,FALSE)</f>
        <v>342.34199999999993</v>
      </c>
      <c r="AG25" s="88">
        <f>((P25*O25)+(N25*M25))*L25*(K25+AF25)</f>
        <v>0</v>
      </c>
      <c r="AH25" s="88">
        <f>(K25+AF25)*L25*V25</f>
        <v>68468.39999999998</v>
      </c>
      <c r="AI25" s="88">
        <f>284*VLOOKUP(50424,StageData!A2:H24,7,FALSE)*VLOOKUP(50424,StageData!A2:H24,8,FALSE)</f>
        <v>347.23259999999993</v>
      </c>
      <c r="AJ25" s="149" t="s">
        <v>401</v>
      </c>
      <c r="AK25" s="88">
        <f>280*VLOOKUP(50424,StageData!A2:H24,7,FALSE)*VLOOKUP(50424,StageData!A2:H24,8,FALSE)</f>
        <v>342.34199999999993</v>
      </c>
      <c r="AL25" s="88">
        <f>((P25*O25)+(N25*M25))*L25*(K25+AK25)</f>
        <v>0</v>
      </c>
      <c r="AM25" s="88">
        <f>(K25+AK25)*L25*V25</f>
        <v>68468.39999999998</v>
      </c>
      <c r="AN25" s="88">
        <f>273*VLOOKUP(50423,StageData!A2:H24,7,FALSE)*VLOOKUP(50423,StageData!A2:H24,8,FALSE)</f>
        <v>333.78344999999996</v>
      </c>
      <c r="AO25" s="149" t="s">
        <v>401</v>
      </c>
      <c r="AP25" s="149" t="s">
        <v>401</v>
      </c>
      <c r="AQ25" s="88">
        <f>155*VLOOKUP(50423,StageData!A2:H24,7,FALSE)*VLOOKUP(50423,StageData!A2:H24,8,FALSE)</f>
        <v>189.51074999999997</v>
      </c>
      <c r="AR25" s="88">
        <f>((P25*O25)+(N25*M25))*L25*(K25+AQ25)</f>
        <v>0</v>
      </c>
      <c r="AS25" s="88">
        <f>(K25+AQ25)*L25*V25</f>
        <v>37902.149999999994</v>
      </c>
      <c r="AT25" s="88">
        <f>288.2*VLOOKUP(50425,StageData!A2:H24,7,FALSE)*VLOOKUP(50425,StageData!A2:H24,8,FALSE)</f>
        <v>352.36772999999994</v>
      </c>
      <c r="AU25" s="157">
        <f t="shared" si="0"/>
        <v>88.774999999999991</v>
      </c>
      <c r="AV25" s="75">
        <f>250*VLOOKUP(50425,StageData!A2:H24,7,FALSE)*VLOOKUP(50425,StageData!A2:H24,8,FALSE)</f>
        <v>305.66249999999997</v>
      </c>
      <c r="AW25" s="59">
        <f>((P25*O25)+(N25*M25))*L25*(K25+AV25)</f>
        <v>0</v>
      </c>
      <c r="AX25" s="81">
        <f>(K25+AV25)*L25*V25</f>
        <v>61132.499999999993</v>
      </c>
      <c r="AY25" s="62"/>
    </row>
    <row r="26" spans="1:51" ht="96.75" customHeight="1" thickBot="1" x14ac:dyDescent="0.4">
      <c r="A26" s="155" t="s">
        <v>294</v>
      </c>
      <c r="B26" s="55" t="s">
        <v>295</v>
      </c>
      <c r="C26" s="55" t="str">
        <f>VLOOKUP(0,LT!A1:E14,2,FALSE)</f>
        <v>הקפצות</v>
      </c>
      <c r="D26" s="56" t="s">
        <v>290</v>
      </c>
      <c r="E26" s="55" t="s">
        <v>296</v>
      </c>
      <c r="F26" s="56" t="s">
        <v>291</v>
      </c>
      <c r="G26" s="55">
        <v>25</v>
      </c>
      <c r="H26" s="55">
        <v>60</v>
      </c>
      <c r="I26" s="55">
        <v>19</v>
      </c>
      <c r="J26" s="55">
        <v>0</v>
      </c>
      <c r="K26" s="57">
        <f>0*(VLOOKUP("###VatValue###",AuctionDetails!A1:C28,2,FALSE)+1)*(VLOOKUP("###Commission###",AuctionDetails!A1:C28,2,FALSE)+1)</f>
        <v>0</v>
      </c>
      <c r="L26" s="55">
        <v>1</v>
      </c>
      <c r="M26" s="55">
        <v>1</v>
      </c>
      <c r="N26" s="55">
        <v>0</v>
      </c>
      <c r="O26" s="55">
        <v>1</v>
      </c>
      <c r="P26" s="55">
        <v>0</v>
      </c>
      <c r="Q26" s="55">
        <v>100</v>
      </c>
      <c r="R26" s="55" t="s">
        <v>8</v>
      </c>
      <c r="S26" s="148" t="s">
        <v>401</v>
      </c>
      <c r="T26" s="57">
        <f>0*(VLOOKUP("###VatValue###",AuctionDetails!A1:C28,2,FALSE)+1)*(VLOOKUP("###Commission###",AuctionDetails!A1:C28,2,FALSE)+1)</f>
        <v>0</v>
      </c>
      <c r="U26" s="148" t="s">
        <v>401</v>
      </c>
      <c r="V26" s="58">
        <v>200</v>
      </c>
      <c r="W26" s="60" t="s">
        <v>232</v>
      </c>
      <c r="X26" s="88" t="s">
        <v>390</v>
      </c>
      <c r="Y26" s="93">
        <f>AQ26/1.17</f>
        <v>177.64999999999998</v>
      </c>
      <c r="Z26" s="96">
        <v>88.8</v>
      </c>
      <c r="AA26" s="149" t="s">
        <v>401</v>
      </c>
      <c r="AB26" s="88" t="s">
        <v>232</v>
      </c>
      <c r="AC26" s="88" t="s">
        <v>232</v>
      </c>
      <c r="AD26" s="88" t="s">
        <v>232</v>
      </c>
      <c r="AE26" s="88">
        <f>370.1*VLOOKUP(50427,StageData!A2:H24,7,FALSE)*VLOOKUP(50427,StageData!A2:H24,8,FALSE)</f>
        <v>452.50276499999995</v>
      </c>
      <c r="AF26" s="88">
        <f>365*VLOOKUP(50427,StageData!A2:H24,7,FALSE)*VLOOKUP(50427,StageData!A2:H24,8,FALSE)</f>
        <v>446.26724999999993</v>
      </c>
      <c r="AG26" s="88">
        <f>((P26*O26)+(N26*M26))*L26*(K26+AF26)</f>
        <v>0</v>
      </c>
      <c r="AH26" s="88">
        <f>(K26+AF26)*L26*V26</f>
        <v>89253.449999999983</v>
      </c>
      <c r="AI26" s="88">
        <f>364.5*VLOOKUP(50424,StageData!A2:H24,7,FALSE)*VLOOKUP(50424,StageData!A2:H24,8,FALSE)</f>
        <v>445.65592499999997</v>
      </c>
      <c r="AJ26" s="149" t="s">
        <v>401</v>
      </c>
      <c r="AK26" s="88">
        <f>360*VLOOKUP(50424,StageData!A2:H24,7,FALSE)*VLOOKUP(50424,StageData!A2:H24,8,FALSE)</f>
        <v>440.15399999999994</v>
      </c>
      <c r="AL26" s="88">
        <f>((P26*O26)+(N26*M26))*L26*(K26+AK26)</f>
        <v>0</v>
      </c>
      <c r="AM26" s="88">
        <f>(K26+AK26)*L26*V26</f>
        <v>88030.799999999988</v>
      </c>
      <c r="AN26" s="88">
        <f>350.7*VLOOKUP(50423,StageData!A2:H24,7,FALSE)*VLOOKUP(50423,StageData!A2:H24,8,FALSE)</f>
        <v>428.78335499999997</v>
      </c>
      <c r="AO26" s="149" t="s">
        <v>401</v>
      </c>
      <c r="AP26" s="149" t="s">
        <v>401</v>
      </c>
      <c r="AQ26" s="88">
        <f>170*VLOOKUP(50423,StageData!A2:H24,7,FALSE)*VLOOKUP(50423,StageData!A2:H24,8,FALSE)</f>
        <v>207.85049999999995</v>
      </c>
      <c r="AR26" s="88">
        <f>((P26*O26)+(N26*M26))*L26*(K26+AQ26)</f>
        <v>0</v>
      </c>
      <c r="AS26" s="88">
        <f>(K26+AQ26)*L26*V26</f>
        <v>41570.099999999991</v>
      </c>
      <c r="AT26" s="88">
        <f>369.7*VLOOKUP(50425,StageData!A2:H24,7,FALSE)*VLOOKUP(50425,StageData!A2:H24,8,FALSE)</f>
        <v>452.0137049999999</v>
      </c>
      <c r="AU26" s="157">
        <f t="shared" si="0"/>
        <v>88.84999999999998</v>
      </c>
      <c r="AV26" s="75">
        <f>300*VLOOKUP(50425,StageData!A2:H24,7,FALSE)*VLOOKUP(50425,StageData!A2:H24,8,FALSE)</f>
        <v>366.79499999999996</v>
      </c>
      <c r="AW26" s="59">
        <f>((P26*O26)+(N26*M26))*L26*(K26+AV26)</f>
        <v>0</v>
      </c>
      <c r="AX26" s="81">
        <f>(K26+AV26)*L26*V26</f>
        <v>73358.999999999985</v>
      </c>
      <c r="AY26" s="62"/>
    </row>
    <row r="27" spans="1:51" s="54" customFormat="1" ht="58.5" customHeight="1" thickBot="1" x14ac:dyDescent="0.4">
      <c r="A27" s="99" t="s">
        <v>297</v>
      </c>
      <c r="B27" s="184" t="s">
        <v>401</v>
      </c>
      <c r="C27" s="184" t="s">
        <v>401</v>
      </c>
      <c r="D27" s="184" t="s">
        <v>401</v>
      </c>
      <c r="E27" s="184" t="s">
        <v>401</v>
      </c>
      <c r="F27" s="184" t="s">
        <v>401</v>
      </c>
      <c r="G27" s="184" t="s">
        <v>401</v>
      </c>
      <c r="H27" s="184" t="s">
        <v>401</v>
      </c>
      <c r="I27" s="184" t="s">
        <v>401</v>
      </c>
      <c r="J27" s="184" t="s">
        <v>401</v>
      </c>
      <c r="K27" s="184" t="s">
        <v>401</v>
      </c>
      <c r="L27" s="184" t="s">
        <v>401</v>
      </c>
      <c r="M27" s="184" t="s">
        <v>401</v>
      </c>
      <c r="N27" s="184" t="s">
        <v>401</v>
      </c>
      <c r="O27" s="184" t="s">
        <v>401</v>
      </c>
      <c r="P27" s="184" t="s">
        <v>401</v>
      </c>
      <c r="Q27" s="184" t="s">
        <v>401</v>
      </c>
      <c r="R27" s="184" t="s">
        <v>401</v>
      </c>
      <c r="S27" s="184" t="s">
        <v>401</v>
      </c>
      <c r="T27" s="184" t="s">
        <v>401</v>
      </c>
      <c r="U27" s="184" t="s">
        <v>401</v>
      </c>
      <c r="V27" s="185" t="s">
        <v>401</v>
      </c>
      <c r="W27" s="51" t="s">
        <v>232</v>
      </c>
      <c r="X27" s="149" t="s">
        <v>401</v>
      </c>
      <c r="Y27" s="189" t="s">
        <v>401</v>
      </c>
      <c r="Z27" s="190" t="s">
        <v>401</v>
      </c>
      <c r="AA27" s="149" t="s">
        <v>401</v>
      </c>
      <c r="AB27" s="149" t="s">
        <v>401</v>
      </c>
      <c r="AC27" s="149" t="s">
        <v>401</v>
      </c>
      <c r="AD27" s="149" t="s">
        <v>401</v>
      </c>
      <c r="AE27" s="149" t="s">
        <v>401</v>
      </c>
      <c r="AF27" s="149" t="s">
        <v>401</v>
      </c>
      <c r="AG27" s="149" t="s">
        <v>401</v>
      </c>
      <c r="AH27" s="149" t="s">
        <v>401</v>
      </c>
      <c r="AI27" s="149" t="s">
        <v>401</v>
      </c>
      <c r="AJ27" s="149" t="s">
        <v>401</v>
      </c>
      <c r="AK27" s="149" t="s">
        <v>401</v>
      </c>
      <c r="AL27" s="149" t="s">
        <v>401</v>
      </c>
      <c r="AM27" s="149" t="s">
        <v>401</v>
      </c>
      <c r="AN27" s="149" t="s">
        <v>401</v>
      </c>
      <c r="AO27" s="149" t="s">
        <v>401</v>
      </c>
      <c r="AP27" s="149" t="s">
        <v>401</v>
      </c>
      <c r="AQ27" s="149" t="s">
        <v>401</v>
      </c>
      <c r="AR27" s="149" t="s">
        <v>401</v>
      </c>
      <c r="AS27" s="149" t="s">
        <v>401</v>
      </c>
      <c r="AT27" s="149" t="s">
        <v>401</v>
      </c>
      <c r="AU27" s="158" t="s">
        <v>401</v>
      </c>
      <c r="AV27" s="146" t="s">
        <v>401</v>
      </c>
      <c r="AW27" s="51">
        <f>SUMIFS(AW28:AW30,R28:R30,"כן")</f>
        <v>0</v>
      </c>
      <c r="AX27" s="80">
        <f>SUMIFS(AX28:AX30,R28:R30,"כן")</f>
        <v>190733.39999999997</v>
      </c>
      <c r="AY27" s="53" t="s">
        <v>7</v>
      </c>
    </row>
    <row r="28" spans="1:51" ht="110.25" customHeight="1" thickBot="1" x14ac:dyDescent="0.4">
      <c r="A28" s="155" t="s">
        <v>298</v>
      </c>
      <c r="B28" s="55" t="s">
        <v>299</v>
      </c>
      <c r="C28" s="55" t="str">
        <f>VLOOKUP(0,LT!A1:E14,2,FALSE)</f>
        <v>הקפצות</v>
      </c>
      <c r="D28" s="56" t="s">
        <v>300</v>
      </c>
      <c r="E28" s="55" t="s">
        <v>238</v>
      </c>
      <c r="F28" s="56" t="s">
        <v>291</v>
      </c>
      <c r="G28" s="55">
        <v>30</v>
      </c>
      <c r="H28" s="55">
        <v>60</v>
      </c>
      <c r="I28" s="55">
        <v>10</v>
      </c>
      <c r="J28" s="55">
        <v>0</v>
      </c>
      <c r="K28" s="57">
        <f>0*(VLOOKUP("###VatValue###",AuctionDetails!A1:C28,2,FALSE)+1)*(VLOOKUP("###Commission###",AuctionDetails!A1:C28,2,FALSE)+1)</f>
        <v>0</v>
      </c>
      <c r="L28" s="55">
        <v>1</v>
      </c>
      <c r="M28" s="55">
        <v>1</v>
      </c>
      <c r="N28" s="55">
        <v>0</v>
      </c>
      <c r="O28" s="55">
        <v>1</v>
      </c>
      <c r="P28" s="55">
        <v>0</v>
      </c>
      <c r="Q28" s="55">
        <v>100</v>
      </c>
      <c r="R28" s="55" t="s">
        <v>8</v>
      </c>
      <c r="S28" s="148" t="s">
        <v>401</v>
      </c>
      <c r="T28" s="57">
        <f>0*(VLOOKUP("###VatValue###",AuctionDetails!A1:C28,2,FALSE)+1)*(VLOOKUP("###Commission###",AuctionDetails!A1:C28,2,FALSE)+1)</f>
        <v>0</v>
      </c>
      <c r="U28" s="148" t="s">
        <v>401</v>
      </c>
      <c r="V28" s="58">
        <v>200</v>
      </c>
      <c r="W28" s="60" t="s">
        <v>232</v>
      </c>
      <c r="X28" s="88" t="s">
        <v>390</v>
      </c>
      <c r="Y28" s="93">
        <f>AQ28/1.17</f>
        <v>172.42499999999998</v>
      </c>
      <c r="Z28" s="96">
        <v>81.5</v>
      </c>
      <c r="AA28" s="149" t="s">
        <v>401</v>
      </c>
      <c r="AB28" s="88" t="s">
        <v>232</v>
      </c>
      <c r="AC28" s="88" t="s">
        <v>232</v>
      </c>
      <c r="AD28" s="88" t="s">
        <v>232</v>
      </c>
      <c r="AE28" s="88">
        <f>282.2*VLOOKUP(50427,StageData!A2:H24,7,FALSE)*VLOOKUP(50427,StageData!A2:H24,8,FALSE)</f>
        <v>345.0318299999999</v>
      </c>
      <c r="AF28" s="88">
        <f>282*VLOOKUP(50427,StageData!A2:H24,7,FALSE)*VLOOKUP(50427,StageData!A2:H24,8,FALSE)</f>
        <v>344.78729999999996</v>
      </c>
      <c r="AG28" s="88">
        <f>((P28*O28)+(N28*M28))*L28*(K28+AF28)</f>
        <v>0</v>
      </c>
      <c r="AH28" s="88">
        <f>(K28+AF28)*L28*V28</f>
        <v>68957.459999999992</v>
      </c>
      <c r="AI28" s="88">
        <f>278.2*VLOOKUP(50424,StageData!A2:H24,7,FALSE)*VLOOKUP(50424,StageData!A2:H24,8,FALSE)</f>
        <v>340.14122999999995</v>
      </c>
      <c r="AJ28" s="149" t="s">
        <v>401</v>
      </c>
      <c r="AK28" s="88">
        <f>270*VLOOKUP(50424,StageData!A2:H24,7,FALSE)*VLOOKUP(50424,StageData!A2:H24,8,FALSE)</f>
        <v>330.11549999999994</v>
      </c>
      <c r="AL28" s="88">
        <f>((P28*O28)+(N28*M28))*L28*(K28+AK28)</f>
        <v>0</v>
      </c>
      <c r="AM28" s="88">
        <f>(K28+AK28)*L28*V28</f>
        <v>66023.099999999991</v>
      </c>
      <c r="AN28" s="88">
        <f>268.2*VLOOKUP(50423,StageData!A2:H24,7,FALSE)*VLOOKUP(50423,StageData!A2:H24,8,FALSE)</f>
        <v>327.91472999999991</v>
      </c>
      <c r="AO28" s="149" t="s">
        <v>401</v>
      </c>
      <c r="AP28" s="149" t="s">
        <v>401</v>
      </c>
      <c r="AQ28" s="88">
        <f>165*VLOOKUP(50423,StageData!A2:H24,7,FALSE)*VLOOKUP(50423,StageData!A2:H24,8,FALSE)</f>
        <v>201.73724999999996</v>
      </c>
      <c r="AR28" s="88">
        <f>((P28*O28)+(N28*M28))*L28*(K28+AQ28)</f>
        <v>0</v>
      </c>
      <c r="AS28" s="88">
        <f>(K28+AQ28)*L28*V28</f>
        <v>40347.44999999999</v>
      </c>
      <c r="AT28" s="88">
        <f>282*VLOOKUP(50425,StageData!A2:H24,7,FALSE)*VLOOKUP(50425,StageData!A2:H24,8,FALSE)</f>
        <v>344.78729999999996</v>
      </c>
      <c r="AU28" s="157">
        <f t="shared" si="0"/>
        <v>90.924999999999983</v>
      </c>
      <c r="AV28" s="75">
        <f>230*VLOOKUP(50425,StageData!A2:H24,7,FALSE)*VLOOKUP(50425,StageData!A2:H24,8,FALSE)</f>
        <v>281.20949999999999</v>
      </c>
      <c r="AW28" s="59">
        <f>((P28*O28)+(N28*M28))*L28*(K28+AV28)</f>
        <v>0</v>
      </c>
      <c r="AX28" s="81">
        <f>(K28+AV28)*L28*V28</f>
        <v>56241.9</v>
      </c>
      <c r="AY28" s="62"/>
    </row>
    <row r="29" spans="1:51" ht="110.25" customHeight="1" thickBot="1" x14ac:dyDescent="0.4">
      <c r="A29" s="155" t="s">
        <v>301</v>
      </c>
      <c r="B29" s="55" t="s">
        <v>302</v>
      </c>
      <c r="C29" s="55" t="str">
        <f>VLOOKUP(0,LT!A1:E14,2,FALSE)</f>
        <v>הקפצות</v>
      </c>
      <c r="D29" s="56" t="s">
        <v>300</v>
      </c>
      <c r="E29" s="55" t="s">
        <v>264</v>
      </c>
      <c r="F29" s="56" t="s">
        <v>291</v>
      </c>
      <c r="G29" s="55">
        <v>30</v>
      </c>
      <c r="H29" s="55">
        <v>60</v>
      </c>
      <c r="I29" s="55">
        <v>14</v>
      </c>
      <c r="J29" s="55">
        <v>0</v>
      </c>
      <c r="K29" s="57">
        <f>0*(VLOOKUP("###VatValue###",AuctionDetails!A1:C28,2,FALSE)+1)*(VLOOKUP("###Commission###",AuctionDetails!A1:C28,2,FALSE)+1)</f>
        <v>0</v>
      </c>
      <c r="L29" s="55">
        <v>1</v>
      </c>
      <c r="M29" s="55">
        <v>1</v>
      </c>
      <c r="N29" s="55">
        <v>0</v>
      </c>
      <c r="O29" s="55">
        <v>1</v>
      </c>
      <c r="P29" s="55">
        <v>0</v>
      </c>
      <c r="Q29" s="55">
        <v>100</v>
      </c>
      <c r="R29" s="55" t="s">
        <v>8</v>
      </c>
      <c r="S29" s="148" t="s">
        <v>401</v>
      </c>
      <c r="T29" s="57">
        <f>0*(VLOOKUP("###VatValue###",AuctionDetails!A1:C28,2,FALSE)+1)*(VLOOKUP("###Commission###",AuctionDetails!A1:C28,2,FALSE)+1)</f>
        <v>0</v>
      </c>
      <c r="U29" s="148" t="s">
        <v>401</v>
      </c>
      <c r="V29" s="58">
        <v>200</v>
      </c>
      <c r="W29" s="60" t="s">
        <v>232</v>
      </c>
      <c r="X29" s="88" t="s">
        <v>390</v>
      </c>
      <c r="Y29" s="93">
        <f>AQ29/1.17</f>
        <v>172.42499999999998</v>
      </c>
      <c r="Z29" s="96">
        <v>73.2</v>
      </c>
      <c r="AA29" s="149" t="s">
        <v>401</v>
      </c>
      <c r="AB29" s="88" t="s">
        <v>232</v>
      </c>
      <c r="AC29" s="88" t="s">
        <v>232</v>
      </c>
      <c r="AD29" s="88" t="s">
        <v>232</v>
      </c>
      <c r="AE29" s="88">
        <f>309.9*VLOOKUP(50427,StageData!A2:H24,7,FALSE)*VLOOKUP(50427,StageData!A2:H24,8,FALSE)</f>
        <v>378.89923499999992</v>
      </c>
      <c r="AF29" s="88">
        <f>309*VLOOKUP(50427,StageData!A2:H24,7,FALSE)*VLOOKUP(50427,StageData!A2:H24,8,FALSE)</f>
        <v>377.79884999999996</v>
      </c>
      <c r="AG29" s="88">
        <f>((P29*O29)+(N29*M29))*L29*(K29+AF29)</f>
        <v>0</v>
      </c>
      <c r="AH29" s="88">
        <f>(K29+AF29)*L29*V29</f>
        <v>75559.76999999999</v>
      </c>
      <c r="AI29" s="88">
        <f>305.5*VLOOKUP(50424,StageData!A2:H24,7,FALSE)*VLOOKUP(50424,StageData!A2:H24,8,FALSE)</f>
        <v>373.51957499999997</v>
      </c>
      <c r="AJ29" s="149" t="s">
        <v>401</v>
      </c>
      <c r="AK29" s="88">
        <f>290*VLOOKUP(50424,StageData!A2:H24,7,FALSE)*VLOOKUP(50424,StageData!A2:H24,8,FALSE)</f>
        <v>354.56849999999991</v>
      </c>
      <c r="AL29" s="88">
        <f>((P29*O29)+(N29*M29))*L29*(K29+AK29)</f>
        <v>0</v>
      </c>
      <c r="AM29" s="88">
        <f>(K29+AK29)*L29*V29</f>
        <v>70913.699999999983</v>
      </c>
      <c r="AN29" s="88">
        <f>294.4*VLOOKUP(50423,StageData!A2:H24,7,FALSE)*VLOOKUP(50423,StageData!A2:H24,8,FALSE)</f>
        <v>359.94815999999992</v>
      </c>
      <c r="AO29" s="149" t="s">
        <v>401</v>
      </c>
      <c r="AP29" s="149" t="s">
        <v>401</v>
      </c>
      <c r="AQ29" s="88">
        <f>165*VLOOKUP(50423,StageData!A2:H24,7,FALSE)*VLOOKUP(50423,StageData!A2:H24,8,FALSE)</f>
        <v>201.73724999999996</v>
      </c>
      <c r="AR29" s="88">
        <f>((P29*O29)+(N29*M29))*L29*(K29+AQ29)</f>
        <v>0</v>
      </c>
      <c r="AS29" s="88">
        <f>(K29+AQ29)*L29*V29</f>
        <v>40347.44999999999</v>
      </c>
      <c r="AT29" s="88">
        <f>309.7*VLOOKUP(50425,StageData!A2:H24,7,FALSE)*VLOOKUP(50425,StageData!A2:H24,8,FALSE)</f>
        <v>378.65470499999992</v>
      </c>
      <c r="AU29" s="157">
        <f t="shared" si="0"/>
        <v>99.22499999999998</v>
      </c>
      <c r="AV29" s="75">
        <f>250*VLOOKUP(50425,StageData!A2:H24,7,FALSE)*VLOOKUP(50425,StageData!A2:H24,8,FALSE)</f>
        <v>305.66249999999997</v>
      </c>
      <c r="AW29" s="59">
        <f>((P29*O29)+(N29*M29))*L29*(K29+AV29)</f>
        <v>0</v>
      </c>
      <c r="AX29" s="81">
        <f>(K29+AV29)*L29*V29</f>
        <v>61132.499999999993</v>
      </c>
      <c r="AY29" s="62"/>
    </row>
    <row r="30" spans="1:51" ht="110.25" customHeight="1" thickBot="1" x14ac:dyDescent="0.4">
      <c r="A30" s="155" t="s">
        <v>303</v>
      </c>
      <c r="B30" s="55" t="s">
        <v>304</v>
      </c>
      <c r="C30" s="55" t="str">
        <f>VLOOKUP(0,LT!A1:E14,2,FALSE)</f>
        <v>הקפצות</v>
      </c>
      <c r="D30" s="56" t="s">
        <v>300</v>
      </c>
      <c r="E30" s="55" t="s">
        <v>296</v>
      </c>
      <c r="F30" s="56" t="s">
        <v>291</v>
      </c>
      <c r="G30" s="55">
        <v>30</v>
      </c>
      <c r="H30" s="55">
        <v>60</v>
      </c>
      <c r="I30" s="55">
        <v>19</v>
      </c>
      <c r="J30" s="55">
        <v>0</v>
      </c>
      <c r="K30" s="57">
        <f>0*(VLOOKUP("###VatValue###",AuctionDetails!A1:C28,2,FALSE)+1)*(VLOOKUP("###Commission###",AuctionDetails!A1:C28,2,FALSE)+1)</f>
        <v>0</v>
      </c>
      <c r="L30" s="55">
        <v>1</v>
      </c>
      <c r="M30" s="55">
        <v>1</v>
      </c>
      <c r="N30" s="55">
        <v>0</v>
      </c>
      <c r="O30" s="55">
        <v>1</v>
      </c>
      <c r="P30" s="55">
        <v>0</v>
      </c>
      <c r="Q30" s="55">
        <v>100</v>
      </c>
      <c r="R30" s="55" t="s">
        <v>8</v>
      </c>
      <c r="S30" s="148" t="s">
        <v>401</v>
      </c>
      <c r="T30" s="57">
        <f>0*(VLOOKUP("###VatValue###",AuctionDetails!A1:C28,2,FALSE)+1)*(VLOOKUP("###Commission###",AuctionDetails!A1:C28,2,FALSE)+1)</f>
        <v>0</v>
      </c>
      <c r="U30" s="148" t="s">
        <v>401</v>
      </c>
      <c r="V30" s="58">
        <v>200</v>
      </c>
      <c r="W30" s="60" t="s">
        <v>232</v>
      </c>
      <c r="X30" s="88" t="s">
        <v>390</v>
      </c>
      <c r="Y30" s="93">
        <f>AQ30/1.17</f>
        <v>188.1</v>
      </c>
      <c r="Z30" s="96">
        <v>73.2</v>
      </c>
      <c r="AA30" s="149" t="s">
        <v>401</v>
      </c>
      <c r="AB30" s="88" t="s">
        <v>232</v>
      </c>
      <c r="AC30" s="88" t="s">
        <v>232</v>
      </c>
      <c r="AD30" s="88" t="s">
        <v>232</v>
      </c>
      <c r="AE30" s="88">
        <f>398.7*VLOOKUP(50427,StageData!A2:H24,7,FALSE)*VLOOKUP(50427,StageData!A2:H24,8,FALSE)</f>
        <v>487.47055499999993</v>
      </c>
      <c r="AF30" s="88">
        <f>395*VLOOKUP(50427,StageData!A2:H24,7,FALSE)*VLOOKUP(50427,StageData!A2:H24,8,FALSE)</f>
        <v>482.94674999999995</v>
      </c>
      <c r="AG30" s="88">
        <f>((P30*O30)+(N30*M30))*L30*(K30+AF30)</f>
        <v>0</v>
      </c>
      <c r="AH30" s="88">
        <f>(K30+AF30)*L30*V30</f>
        <v>96589.349999999991</v>
      </c>
      <c r="AI30" s="88">
        <f>393.1*VLOOKUP(50424,StageData!A2:H24,7,FALSE)*VLOOKUP(50424,StageData!A2:H24,8,FALSE)</f>
        <v>480.62371499999995</v>
      </c>
      <c r="AJ30" s="149" t="s">
        <v>401</v>
      </c>
      <c r="AK30" s="88">
        <f>380*VLOOKUP(50424,StageData!A2:H24,7,FALSE)*VLOOKUP(50424,StageData!A2:H24,8,FALSE)</f>
        <v>464.60699999999991</v>
      </c>
      <c r="AL30" s="88">
        <f>((P30*O30)+(N30*M30))*L30*(K30+AK30)</f>
        <v>0</v>
      </c>
      <c r="AM30" s="88">
        <f>(K30+AK30)*L30*V30</f>
        <v>92921.39999999998</v>
      </c>
      <c r="AN30" s="88">
        <f>379.3*VLOOKUP(50423,StageData!A2:H24,7,FALSE)*VLOOKUP(50423,StageData!A2:H24,8,FALSE)</f>
        <v>463.75114499999995</v>
      </c>
      <c r="AO30" s="149" t="s">
        <v>401</v>
      </c>
      <c r="AP30" s="149" t="s">
        <v>401</v>
      </c>
      <c r="AQ30" s="88">
        <f>180*VLOOKUP(50423,StageData!A2:H24,7,FALSE)*VLOOKUP(50423,StageData!A2:H24,8,FALSE)</f>
        <v>220.07699999999997</v>
      </c>
      <c r="AR30" s="88">
        <f>((P30*O30)+(N30*M30))*L30*(K30+AQ30)</f>
        <v>0</v>
      </c>
      <c r="AS30" s="88">
        <f>(K30+AQ30)*L30*V30</f>
        <v>44015.399999999994</v>
      </c>
      <c r="AT30" s="88">
        <f>398.3*VLOOKUP(50425,StageData!A2:H24,7,FALSE)*VLOOKUP(50425,StageData!A2:H24,8,FALSE)</f>
        <v>486.981495</v>
      </c>
      <c r="AU30" s="157">
        <f t="shared" si="0"/>
        <v>114.89999999999999</v>
      </c>
      <c r="AV30" s="75">
        <f>300*VLOOKUP(50425,StageData!A2:H24,7,FALSE)*VLOOKUP(50425,StageData!A2:H24,8,FALSE)</f>
        <v>366.79499999999996</v>
      </c>
      <c r="AW30" s="59">
        <f>((P30*O30)+(N30*M30))*L30*(K30+AV30)</f>
        <v>0</v>
      </c>
      <c r="AX30" s="81">
        <f>(K30+AV30)*L30*V30</f>
        <v>73358.999999999985</v>
      </c>
      <c r="AY30" s="62"/>
    </row>
    <row r="31" spans="1:51" s="54" customFormat="1" ht="58.5" customHeight="1" thickBot="1" x14ac:dyDescent="0.4">
      <c r="A31" s="99" t="s">
        <v>305</v>
      </c>
      <c r="B31" s="184" t="s">
        <v>401</v>
      </c>
      <c r="C31" s="184" t="s">
        <v>401</v>
      </c>
      <c r="D31" s="184" t="s">
        <v>401</v>
      </c>
      <c r="E31" s="184" t="s">
        <v>401</v>
      </c>
      <c r="F31" s="184" t="s">
        <v>401</v>
      </c>
      <c r="G31" s="184" t="s">
        <v>401</v>
      </c>
      <c r="H31" s="184" t="s">
        <v>401</v>
      </c>
      <c r="I31" s="184" t="s">
        <v>401</v>
      </c>
      <c r="J31" s="184" t="s">
        <v>401</v>
      </c>
      <c r="K31" s="184" t="s">
        <v>401</v>
      </c>
      <c r="L31" s="184" t="s">
        <v>401</v>
      </c>
      <c r="M31" s="184" t="s">
        <v>401</v>
      </c>
      <c r="N31" s="184" t="s">
        <v>401</v>
      </c>
      <c r="O31" s="184" t="s">
        <v>401</v>
      </c>
      <c r="P31" s="184" t="s">
        <v>401</v>
      </c>
      <c r="Q31" s="184" t="s">
        <v>401</v>
      </c>
      <c r="R31" s="184" t="s">
        <v>401</v>
      </c>
      <c r="S31" s="184" t="s">
        <v>401</v>
      </c>
      <c r="T31" s="184" t="s">
        <v>401</v>
      </c>
      <c r="U31" s="184" t="s">
        <v>401</v>
      </c>
      <c r="V31" s="185" t="s">
        <v>401</v>
      </c>
      <c r="W31" s="51" t="s">
        <v>232</v>
      </c>
      <c r="X31" s="149" t="s">
        <v>401</v>
      </c>
      <c r="Y31" s="189" t="s">
        <v>401</v>
      </c>
      <c r="Z31" s="190" t="s">
        <v>401</v>
      </c>
      <c r="AA31" s="149" t="s">
        <v>401</v>
      </c>
      <c r="AB31" s="88" t="s">
        <v>232</v>
      </c>
      <c r="AC31" s="88" t="s">
        <v>232</v>
      </c>
      <c r="AD31" s="88" t="s">
        <v>232</v>
      </c>
      <c r="AE31" s="88">
        <f>338988*VLOOKUP(50427,StageData!A2:H24,7,FALSE)*VLOOKUP(50427,StageData!A2:H24,8,FALSE)</f>
        <v>414463.67819999991</v>
      </c>
      <c r="AF31" s="149" t="s">
        <v>401</v>
      </c>
      <c r="AG31" s="88">
        <f>SUMIFS(AG32:AG34,R32:R34,"כן")</f>
        <v>0</v>
      </c>
      <c r="AH31" s="88">
        <f>SUMIFS(AH32:AH34,R32:R34,"כן")</f>
        <v>294903.17999999993</v>
      </c>
      <c r="AI31" s="88">
        <f>334776*VLOOKUP(50424,StageData!A2:H24,7,FALSE)*VLOOKUP(50424,StageData!A2:H24,8,FALSE)</f>
        <v>409313.87639999995</v>
      </c>
      <c r="AJ31" s="149" t="s">
        <v>401</v>
      </c>
      <c r="AK31" s="149" t="s">
        <v>401</v>
      </c>
      <c r="AL31" s="88">
        <f>SUMIFS(AL32:AL34,R32:R34,"כן")</f>
        <v>0</v>
      </c>
      <c r="AM31" s="88">
        <f>SUMIFS(AM32:AM34,R32:R34,"כן")</f>
        <v>388802.69999999995</v>
      </c>
      <c r="AN31" s="88">
        <f>324324*VLOOKUP(50423,StageData!A2:H24,7,FALSE)*VLOOKUP(50423,StageData!A2:H24,8,FALSE)</f>
        <v>396534.73859999992</v>
      </c>
      <c r="AO31" s="149" t="s">
        <v>401</v>
      </c>
      <c r="AP31" s="149" t="s">
        <v>401</v>
      </c>
      <c r="AQ31" s="149" t="s">
        <v>401</v>
      </c>
      <c r="AR31" s="88">
        <f>SUMIFS(AR32:AR34,R32:R34,"כן")</f>
        <v>0</v>
      </c>
      <c r="AS31" s="88">
        <f>SUMIFS(AS32:AS34,R32:R34,"כן")</f>
        <v>235971.44999999998</v>
      </c>
      <c r="AT31" s="88">
        <f>338715*VLOOKUP(50425,StageData!A2:H24,7,FALSE)*VLOOKUP(50425,StageData!A2:H24,8,FALSE)</f>
        <v>414129.89474999998</v>
      </c>
      <c r="AU31" s="158" t="s">
        <v>401</v>
      </c>
      <c r="AV31" s="146" t="s">
        <v>401</v>
      </c>
      <c r="AW31" s="51">
        <f>SUMIFS(AW32:AW34,R32:R34,"כן")</f>
        <v>0</v>
      </c>
      <c r="AX31" s="80">
        <f>SUMIFS(AX32:AX34,R32:R34,"כן")</f>
        <v>266537.69999999995</v>
      </c>
      <c r="AY31" s="53" t="s">
        <v>7</v>
      </c>
    </row>
    <row r="32" spans="1:51" ht="91.5" customHeight="1" thickBot="1" x14ac:dyDescent="0.4">
      <c r="A32" s="155" t="s">
        <v>306</v>
      </c>
      <c r="B32" s="55" t="s">
        <v>307</v>
      </c>
      <c r="C32" s="55" t="str">
        <f>VLOOKUP(0,LT!A1:E14,2,FALSE)</f>
        <v>הקפצות</v>
      </c>
      <c r="D32" s="56" t="s">
        <v>308</v>
      </c>
      <c r="E32" s="55" t="s">
        <v>238</v>
      </c>
      <c r="F32" s="56" t="s">
        <v>309</v>
      </c>
      <c r="G32" s="55">
        <v>60</v>
      </c>
      <c r="H32" s="55">
        <v>90</v>
      </c>
      <c r="I32" s="55">
        <v>10</v>
      </c>
      <c r="J32" s="55">
        <v>0</v>
      </c>
      <c r="K32" s="57">
        <f>0*(VLOOKUP("###VatValue###",AuctionDetails!A1:C28,2,FALSE)+1)*(VLOOKUP("###Commission###",AuctionDetails!A1:C28,2,FALSE)+1)</f>
        <v>0</v>
      </c>
      <c r="L32" s="55">
        <v>1</v>
      </c>
      <c r="M32" s="55">
        <v>1</v>
      </c>
      <c r="N32" s="55">
        <v>0</v>
      </c>
      <c r="O32" s="55">
        <v>1</v>
      </c>
      <c r="P32" s="55">
        <v>0</v>
      </c>
      <c r="Q32" s="55">
        <v>100</v>
      </c>
      <c r="R32" s="55" t="s">
        <v>8</v>
      </c>
      <c r="S32" s="148" t="s">
        <v>401</v>
      </c>
      <c r="T32" s="57">
        <f>0*(VLOOKUP("###VatValue###",AuctionDetails!A1:C28,2,FALSE)+1)*(VLOOKUP("###Commission###",AuctionDetails!A1:C28,2,FALSE)+1)</f>
        <v>0</v>
      </c>
      <c r="U32" s="148" t="s">
        <v>401</v>
      </c>
      <c r="V32" s="58">
        <v>200</v>
      </c>
      <c r="W32" s="59" t="s">
        <v>232</v>
      </c>
      <c r="X32" s="88" t="s">
        <v>390</v>
      </c>
      <c r="Y32" s="93">
        <f>AQ32/1.17</f>
        <v>318.72499999999997</v>
      </c>
      <c r="Z32" s="96" t="s">
        <v>396</v>
      </c>
      <c r="AA32" s="149" t="s">
        <v>401</v>
      </c>
      <c r="AB32" s="88" t="s">
        <v>232</v>
      </c>
      <c r="AC32" s="88" t="s">
        <v>232</v>
      </c>
      <c r="AD32" s="88" t="s">
        <v>232</v>
      </c>
      <c r="AE32" s="88">
        <f>481.8*VLOOKUP(50427,StageData!A2:H24,7,FALSE)*VLOOKUP(50427,StageData!A2:H24,8,FALSE)</f>
        <v>589.07276999999999</v>
      </c>
      <c r="AF32" s="88">
        <f>366*VLOOKUP(50427,StageData!A2:H24,7,FALSE)*VLOOKUP(50427,StageData!A2:H24,8,FALSE)</f>
        <v>447.48989999999992</v>
      </c>
      <c r="AG32" s="88">
        <f>((P32*O32)+(N32*M32))*L32*(K32+AF32)</f>
        <v>0</v>
      </c>
      <c r="AH32" s="88">
        <f>(K32+AF32)*L32*V32</f>
        <v>89497.979999999981</v>
      </c>
      <c r="AI32" s="88">
        <f>475.8*VLOOKUP(50424,StageData!A2:H24,7,FALSE)*VLOOKUP(50424,StageData!A2:H24,8,FALSE)</f>
        <v>581.73686999999995</v>
      </c>
      <c r="AJ32" s="149" t="s">
        <v>401</v>
      </c>
      <c r="AK32" s="88">
        <f>470*VLOOKUP(50424,StageData!A2:H24,7,FALSE)*VLOOKUP(50424,StageData!A2:H24,8,FALSE)</f>
        <v>574.64549999999997</v>
      </c>
      <c r="AL32" s="88">
        <f>((P32*O32)+(N32*M32))*L32*(K32+AK32)</f>
        <v>0</v>
      </c>
      <c r="AM32" s="88">
        <f>(K32+AK32)*L32*V32</f>
        <v>114929.09999999999</v>
      </c>
      <c r="AN32" s="88">
        <f>460.8*VLOOKUP(50423,StageData!A2:H24,7,FALSE)*VLOOKUP(50423,StageData!A2:H24,8,FALSE)</f>
        <v>563.39711999999997</v>
      </c>
      <c r="AO32" s="149" t="s">
        <v>401</v>
      </c>
      <c r="AP32" s="149" t="s">
        <v>401</v>
      </c>
      <c r="AQ32" s="88">
        <f>305*VLOOKUP(50423,StageData!A2:H24,7,FALSE)*VLOOKUP(50423,StageData!A2:H24,8,FALSE)</f>
        <v>372.90824999999995</v>
      </c>
      <c r="AR32" s="88">
        <f>((P32*O32)+(N32*M32))*L32*(K32+AQ32)</f>
        <v>0</v>
      </c>
      <c r="AS32" s="88">
        <f>(K32+AQ32)*L32*V32</f>
        <v>74581.649999999994</v>
      </c>
      <c r="AT32" s="88">
        <f>481.5*VLOOKUP(50425,StageData!A2:H24,7,FALSE)*VLOOKUP(50425,StageData!A2:H24,8,FALSE)</f>
        <v>588.70597499999997</v>
      </c>
      <c r="AU32" s="158" t="s">
        <v>401</v>
      </c>
      <c r="AV32" s="75">
        <f>320*VLOOKUP(50425,StageData!A2:H24,7,FALSE)*VLOOKUP(50425,StageData!A2:H24,8,FALSE)</f>
        <v>391.24799999999993</v>
      </c>
      <c r="AW32" s="59">
        <f>((P32*O32)+(N32*M32))*L32*(K32+AV32)</f>
        <v>0</v>
      </c>
      <c r="AX32" s="81">
        <f>(K32+AV32)*L32*V32</f>
        <v>78249.599999999991</v>
      </c>
      <c r="AY32" s="62"/>
    </row>
    <row r="33" spans="1:51" ht="91.5" customHeight="1" thickBot="1" x14ac:dyDescent="0.4">
      <c r="A33" s="155" t="s">
        <v>310</v>
      </c>
      <c r="B33" s="55" t="s">
        <v>311</v>
      </c>
      <c r="C33" s="55" t="str">
        <f>VLOOKUP(0,LT!A1:E14,2,FALSE)</f>
        <v>הקפצות</v>
      </c>
      <c r="D33" s="56" t="s">
        <v>308</v>
      </c>
      <c r="E33" s="55" t="s">
        <v>264</v>
      </c>
      <c r="F33" s="56" t="s">
        <v>309</v>
      </c>
      <c r="G33" s="55">
        <v>60</v>
      </c>
      <c r="H33" s="55">
        <v>90</v>
      </c>
      <c r="I33" s="55">
        <v>14</v>
      </c>
      <c r="J33" s="55">
        <v>0</v>
      </c>
      <c r="K33" s="57">
        <f>0*(VLOOKUP("###VatValue###",AuctionDetails!A1:C28,2,FALSE)+1)*(VLOOKUP("###Commission###",AuctionDetails!A1:C28,2,FALSE)+1)</f>
        <v>0</v>
      </c>
      <c r="L33" s="55">
        <v>1</v>
      </c>
      <c r="M33" s="55">
        <v>1</v>
      </c>
      <c r="N33" s="55">
        <v>0</v>
      </c>
      <c r="O33" s="55">
        <v>1</v>
      </c>
      <c r="P33" s="55">
        <v>0</v>
      </c>
      <c r="Q33" s="55">
        <v>100</v>
      </c>
      <c r="R33" s="55" t="s">
        <v>8</v>
      </c>
      <c r="S33" s="148" t="s">
        <v>401</v>
      </c>
      <c r="T33" s="57">
        <f>0*(VLOOKUP("###VatValue###",AuctionDetails!A1:C28,2,FALSE)+1)*(VLOOKUP("###Commission###",AuctionDetails!A1:C28,2,FALSE)+1)</f>
        <v>0</v>
      </c>
      <c r="U33" s="148" t="s">
        <v>401</v>
      </c>
      <c r="V33" s="58">
        <v>200</v>
      </c>
      <c r="W33" s="59" t="s">
        <v>232</v>
      </c>
      <c r="X33" s="88" t="s">
        <v>390</v>
      </c>
      <c r="Y33" s="93">
        <f>AQ33/1.17</f>
        <v>318.72499999999997</v>
      </c>
      <c r="Z33" s="96" t="s">
        <v>396</v>
      </c>
      <c r="AA33" s="149" t="s">
        <v>401</v>
      </c>
      <c r="AB33" s="88" t="s">
        <v>232</v>
      </c>
      <c r="AC33" s="88" t="s">
        <v>232</v>
      </c>
      <c r="AD33" s="88" t="s">
        <v>232</v>
      </c>
      <c r="AE33" s="88">
        <f>529.2*VLOOKUP(50427,StageData!A2:H24,7,FALSE)*VLOOKUP(50427,StageData!A2:H24,8,FALSE)</f>
        <v>647.02638000000002</v>
      </c>
      <c r="AF33" s="88">
        <f>420*VLOOKUP(50427,StageData!A2:H24,7,FALSE)*VLOOKUP(50427,StageData!A2:H24,8,FALSE)</f>
        <v>513.51299999999992</v>
      </c>
      <c r="AG33" s="88">
        <f>((P33*O33)+(N33*M33))*L33*(K33+AF33)</f>
        <v>0</v>
      </c>
      <c r="AH33" s="88">
        <f>(K33+AF33)*L33*V33</f>
        <v>102702.59999999998</v>
      </c>
      <c r="AI33" s="88">
        <f>522.6*VLOOKUP(50424,StageData!A2:H24,7,FALSE)*VLOOKUP(50424,StageData!A2:H24,8,FALSE)</f>
        <v>638.95688999999993</v>
      </c>
      <c r="AJ33" s="149" t="s">
        <v>401</v>
      </c>
      <c r="AK33" s="88">
        <f>470*VLOOKUP(50424,StageData!A2:H24,7,FALSE)*VLOOKUP(50424,StageData!A2:H24,8,FALSE)</f>
        <v>574.64549999999997</v>
      </c>
      <c r="AL33" s="88">
        <f>((P33*O33)+(N33*M33))*L33*(K33+AK33)</f>
        <v>0</v>
      </c>
      <c r="AM33" s="88">
        <f>(K33+AK33)*L33*V33</f>
        <v>114929.09999999999</v>
      </c>
      <c r="AN33" s="88">
        <f>506*VLOOKUP(50423,StageData!A2:H24,7,FALSE)*VLOOKUP(50423,StageData!A2:H24,8,FALSE)</f>
        <v>618.66089999999997</v>
      </c>
      <c r="AO33" s="149" t="s">
        <v>401</v>
      </c>
      <c r="AP33" s="149" t="s">
        <v>401</v>
      </c>
      <c r="AQ33" s="88">
        <f>305*VLOOKUP(50423,StageData!A2:H24,7,FALSE)*VLOOKUP(50423,StageData!A2:H24,8,FALSE)</f>
        <v>372.90824999999995</v>
      </c>
      <c r="AR33" s="88">
        <f>((P33*O33)+(N33*M33))*L33*(K33+AQ33)</f>
        <v>0</v>
      </c>
      <c r="AS33" s="88">
        <f>(K33+AQ33)*L33*V33</f>
        <v>74581.649999999994</v>
      </c>
      <c r="AT33" s="88">
        <f>528.8*VLOOKUP(50425,StageData!A2:H24,7,FALSE)*VLOOKUP(50425,StageData!A2:H24,8,FALSE)</f>
        <v>646.5373199999998</v>
      </c>
      <c r="AU33" s="158" t="s">
        <v>401</v>
      </c>
      <c r="AV33" s="75">
        <f>350*VLOOKUP(50425,StageData!A2:H24,7,FALSE)*VLOOKUP(50425,StageData!A2:H24,8,FALSE)</f>
        <v>427.92749999999995</v>
      </c>
      <c r="AW33" s="59">
        <f>((P33*O33)+(N33*M33))*L33*(K33+AV33)</f>
        <v>0</v>
      </c>
      <c r="AX33" s="81">
        <f>(K33+AV33)*L33*V33</f>
        <v>85585.499999999985</v>
      </c>
      <c r="AY33" s="62"/>
    </row>
    <row r="34" spans="1:51" ht="91.5" customHeight="1" thickBot="1" x14ac:dyDescent="0.4">
      <c r="A34" s="155" t="s">
        <v>312</v>
      </c>
      <c r="B34" s="55" t="s">
        <v>313</v>
      </c>
      <c r="C34" s="55" t="str">
        <f>VLOOKUP(0,LT!A1:E14,2,FALSE)</f>
        <v>הקפצות</v>
      </c>
      <c r="D34" s="56" t="s">
        <v>308</v>
      </c>
      <c r="E34" s="55" t="s">
        <v>296</v>
      </c>
      <c r="F34" s="56" t="s">
        <v>309</v>
      </c>
      <c r="G34" s="55">
        <v>60</v>
      </c>
      <c r="H34" s="55">
        <v>90</v>
      </c>
      <c r="I34" s="55">
        <v>19</v>
      </c>
      <c r="J34" s="55">
        <v>0</v>
      </c>
      <c r="K34" s="57">
        <f>0*(VLOOKUP("###VatValue###",AuctionDetails!A1:C28,2,FALSE)+1)*(VLOOKUP("###Commission###",AuctionDetails!A1:C28,2,FALSE)+1)</f>
        <v>0</v>
      </c>
      <c r="L34" s="55">
        <v>1</v>
      </c>
      <c r="M34" s="55">
        <v>1</v>
      </c>
      <c r="N34" s="55">
        <v>0</v>
      </c>
      <c r="O34" s="55">
        <v>1</v>
      </c>
      <c r="P34" s="55">
        <v>0</v>
      </c>
      <c r="Q34" s="55">
        <v>100</v>
      </c>
      <c r="R34" s="55" t="s">
        <v>8</v>
      </c>
      <c r="S34" s="148" t="s">
        <v>401</v>
      </c>
      <c r="T34" s="57">
        <f>0*(VLOOKUP("###VatValue###",AuctionDetails!A1:C28,2,FALSE)+1)*(VLOOKUP("###Commission###",AuctionDetails!A1:C28,2,FALSE)+1)</f>
        <v>0</v>
      </c>
      <c r="U34" s="148" t="s">
        <v>401</v>
      </c>
      <c r="V34" s="58">
        <v>200</v>
      </c>
      <c r="W34" s="59" t="s">
        <v>232</v>
      </c>
      <c r="X34" s="88" t="s">
        <v>390</v>
      </c>
      <c r="Y34" s="93">
        <f>AQ34/1.17</f>
        <v>370.97499999999997</v>
      </c>
      <c r="Z34" s="96" t="s">
        <v>396</v>
      </c>
      <c r="AA34" s="149" t="s">
        <v>401</v>
      </c>
      <c r="AB34" s="88" t="s">
        <v>232</v>
      </c>
      <c r="AC34" s="88" t="s">
        <v>232</v>
      </c>
      <c r="AD34" s="88" t="s">
        <v>232</v>
      </c>
      <c r="AE34" s="88">
        <f>683.9*VLOOKUP(50427,StageData!A2:H24,7,FALSE)*VLOOKUP(50427,StageData!A2:H24,8,FALSE)</f>
        <v>836.17033499999991</v>
      </c>
      <c r="AF34" s="88">
        <f>420*VLOOKUP(50427,StageData!A2:H24,7,FALSE)*VLOOKUP(50427,StageData!A2:H24,8,FALSE)</f>
        <v>513.51299999999992</v>
      </c>
      <c r="AG34" s="88">
        <f>((P34*O34)+(N34*M34))*L34*(K34+AF34)</f>
        <v>0</v>
      </c>
      <c r="AH34" s="88">
        <f>(K34+AF34)*L34*V34</f>
        <v>102702.59999999998</v>
      </c>
      <c r="AI34" s="88">
        <f>675.5*VLOOKUP(50424,StageData!A2:H24,7,FALSE)*VLOOKUP(50424,StageData!A2:H24,8,FALSE)</f>
        <v>825.9000749999999</v>
      </c>
      <c r="AJ34" s="149" t="s">
        <v>401</v>
      </c>
      <c r="AK34" s="88">
        <f>650*VLOOKUP(50424,StageData!A2:H24,7,FALSE)*VLOOKUP(50424,StageData!A2:H24,8,FALSE)</f>
        <v>794.72249999999997</v>
      </c>
      <c r="AL34" s="88">
        <f>((P34*O34)+(N34*M34))*L34*(K34+AK34)</f>
        <v>0</v>
      </c>
      <c r="AM34" s="88">
        <f>(K34+AK34)*L34*V34</f>
        <v>158944.5</v>
      </c>
      <c r="AN34" s="88">
        <f>654.8*VLOOKUP(50423,StageData!A2:H24,7,FALSE)*VLOOKUP(50423,StageData!A2:H24,8,FALSE)</f>
        <v>800.59121999999991</v>
      </c>
      <c r="AO34" s="149" t="s">
        <v>401</v>
      </c>
      <c r="AP34" s="149" t="s">
        <v>401</v>
      </c>
      <c r="AQ34" s="88">
        <f>355*VLOOKUP(50423,StageData!A2:H24,7,FALSE)*VLOOKUP(50423,StageData!A2:H24,8,FALSE)</f>
        <v>434.04074999999995</v>
      </c>
      <c r="AR34" s="88">
        <f>((P34*O34)+(N34*M34))*L34*(K34+AQ34)</f>
        <v>0</v>
      </c>
      <c r="AS34" s="88">
        <f>(K34+AQ34)*L34*V34</f>
        <v>86808.15</v>
      </c>
      <c r="AT34" s="88">
        <f>683.3*VLOOKUP(50425,StageData!A2:H24,7,FALSE)*VLOOKUP(50425,StageData!A2:H24,8,FALSE)</f>
        <v>835.43674499999986</v>
      </c>
      <c r="AU34" s="158" t="s">
        <v>401</v>
      </c>
      <c r="AV34" s="75">
        <f>420*VLOOKUP(50425,StageData!A2:H24,7,FALSE)*VLOOKUP(50425,StageData!A2:H24,8,FALSE)</f>
        <v>513.51299999999992</v>
      </c>
      <c r="AW34" s="59">
        <f>((P34*O34)+(N34*M34))*L34*(K34+AV34)</f>
        <v>0</v>
      </c>
      <c r="AX34" s="81">
        <f>(K34+AV34)*L34*V34</f>
        <v>102702.59999999998</v>
      </c>
      <c r="AY34" s="62"/>
    </row>
    <row r="35" spans="1:51" s="54" customFormat="1" ht="58.5" customHeight="1" thickBot="1" x14ac:dyDescent="0.4">
      <c r="A35" s="99" t="s">
        <v>314</v>
      </c>
      <c r="B35" s="184" t="s">
        <v>401</v>
      </c>
      <c r="C35" s="184" t="s">
        <v>401</v>
      </c>
      <c r="D35" s="184" t="s">
        <v>401</v>
      </c>
      <c r="E35" s="184" t="s">
        <v>401</v>
      </c>
      <c r="F35" s="184" t="s">
        <v>401</v>
      </c>
      <c r="G35" s="184" t="s">
        <v>401</v>
      </c>
      <c r="H35" s="184" t="s">
        <v>401</v>
      </c>
      <c r="I35" s="184" t="s">
        <v>401</v>
      </c>
      <c r="J35" s="184" t="s">
        <v>401</v>
      </c>
      <c r="K35" s="184" t="s">
        <v>401</v>
      </c>
      <c r="L35" s="184" t="s">
        <v>401</v>
      </c>
      <c r="M35" s="184" t="s">
        <v>401</v>
      </c>
      <c r="N35" s="184" t="s">
        <v>401</v>
      </c>
      <c r="O35" s="184" t="s">
        <v>401</v>
      </c>
      <c r="P35" s="184" t="s">
        <v>401</v>
      </c>
      <c r="Q35" s="184" t="s">
        <v>401</v>
      </c>
      <c r="R35" s="184" t="s">
        <v>401</v>
      </c>
      <c r="S35" s="184" t="s">
        <v>401</v>
      </c>
      <c r="T35" s="184" t="s">
        <v>401</v>
      </c>
      <c r="U35" s="184" t="s">
        <v>401</v>
      </c>
      <c r="V35" s="185" t="s">
        <v>401</v>
      </c>
      <c r="W35" s="51" t="s">
        <v>232</v>
      </c>
      <c r="X35" s="149" t="s">
        <v>401</v>
      </c>
      <c r="Y35" s="189" t="s">
        <v>401</v>
      </c>
      <c r="Z35" s="190" t="s">
        <v>401</v>
      </c>
      <c r="AA35" s="149" t="s">
        <v>401</v>
      </c>
      <c r="AB35" s="149" t="s">
        <v>401</v>
      </c>
      <c r="AC35" s="149" t="s">
        <v>401</v>
      </c>
      <c r="AD35" s="149" t="s">
        <v>401</v>
      </c>
      <c r="AE35" s="149" t="s">
        <v>401</v>
      </c>
      <c r="AF35" s="149" t="s">
        <v>401</v>
      </c>
      <c r="AG35" s="149" t="s">
        <v>401</v>
      </c>
      <c r="AH35" s="149" t="s">
        <v>401</v>
      </c>
      <c r="AI35" s="149" t="s">
        <v>401</v>
      </c>
      <c r="AJ35" s="149" t="s">
        <v>401</v>
      </c>
      <c r="AK35" s="149" t="s">
        <v>401</v>
      </c>
      <c r="AL35" s="149" t="s">
        <v>401</v>
      </c>
      <c r="AM35" s="149" t="s">
        <v>401</v>
      </c>
      <c r="AN35" s="149" t="s">
        <v>401</v>
      </c>
      <c r="AO35" s="149" t="s">
        <v>401</v>
      </c>
      <c r="AP35" s="149" t="s">
        <v>401</v>
      </c>
      <c r="AQ35" s="149" t="s">
        <v>401</v>
      </c>
      <c r="AR35" s="149" t="s">
        <v>401</v>
      </c>
      <c r="AS35" s="149" t="s">
        <v>401</v>
      </c>
      <c r="AT35" s="149" t="s">
        <v>401</v>
      </c>
      <c r="AU35" s="158" t="s">
        <v>401</v>
      </c>
      <c r="AV35" s="146" t="s">
        <v>401</v>
      </c>
      <c r="AW35" s="51">
        <f>SUMIFS(AW36:AW38,R36:R38,"כן")</f>
        <v>0</v>
      </c>
      <c r="AX35" s="80">
        <f>SUMIFS(AX36:AX38,R36:R38,"כן")</f>
        <v>190733.39999999997</v>
      </c>
      <c r="AY35" s="53" t="s">
        <v>7</v>
      </c>
    </row>
    <row r="36" spans="1:51" ht="114" customHeight="1" thickBot="1" x14ac:dyDescent="0.4">
      <c r="A36" s="155" t="s">
        <v>315</v>
      </c>
      <c r="B36" s="55" t="s">
        <v>316</v>
      </c>
      <c r="C36" s="55" t="str">
        <f>VLOOKUP(0,LT!A1:E14,2,FALSE)</f>
        <v>הקפצות</v>
      </c>
      <c r="D36" s="56" t="s">
        <v>317</v>
      </c>
      <c r="E36" s="55" t="s">
        <v>238</v>
      </c>
      <c r="F36" s="56" t="s">
        <v>291</v>
      </c>
      <c r="G36" s="55">
        <v>30</v>
      </c>
      <c r="H36" s="55">
        <v>60</v>
      </c>
      <c r="I36" s="55">
        <v>10</v>
      </c>
      <c r="J36" s="55">
        <v>0</v>
      </c>
      <c r="K36" s="57">
        <f>0*(VLOOKUP("###VatValue###",AuctionDetails!A1:C28,2,FALSE)+1)*(VLOOKUP("###Commission###",AuctionDetails!A1:C28,2,FALSE)+1)</f>
        <v>0</v>
      </c>
      <c r="L36" s="55">
        <v>1</v>
      </c>
      <c r="M36" s="55">
        <v>1</v>
      </c>
      <c r="N36" s="55">
        <v>0</v>
      </c>
      <c r="O36" s="55">
        <v>1</v>
      </c>
      <c r="P36" s="55">
        <v>0</v>
      </c>
      <c r="Q36" s="55">
        <v>100</v>
      </c>
      <c r="R36" s="55" t="s">
        <v>8</v>
      </c>
      <c r="S36" s="148" t="s">
        <v>401</v>
      </c>
      <c r="T36" s="57">
        <f>0*(VLOOKUP("###VatValue###",AuctionDetails!A1:C28,2,FALSE)+1)*(VLOOKUP("###Commission###",AuctionDetails!A1:C28,2,FALSE)+1)</f>
        <v>0</v>
      </c>
      <c r="U36" s="148" t="s">
        <v>401</v>
      </c>
      <c r="V36" s="58">
        <v>200</v>
      </c>
      <c r="W36" s="60" t="s">
        <v>232</v>
      </c>
      <c r="X36" s="88" t="s">
        <v>390</v>
      </c>
      <c r="Y36" s="93">
        <f>AQ36/1.17</f>
        <v>151.52499999999998</v>
      </c>
      <c r="Z36" s="96">
        <v>35.5</v>
      </c>
      <c r="AA36" s="149" t="s">
        <v>401</v>
      </c>
      <c r="AB36" s="88" t="s">
        <v>232</v>
      </c>
      <c r="AC36" s="88" t="s">
        <v>232</v>
      </c>
      <c r="AD36" s="88" t="s">
        <v>232</v>
      </c>
      <c r="AE36" s="88" t="s">
        <v>234</v>
      </c>
      <c r="AF36" s="88" t="s">
        <v>234</v>
      </c>
      <c r="AG36" s="88" t="s">
        <v>234</v>
      </c>
      <c r="AH36" s="88" t="s">
        <v>234</v>
      </c>
      <c r="AI36" s="88">
        <f>278.2*VLOOKUP(50424,StageData!A2:H24,7,FALSE)*VLOOKUP(50424,StageData!A2:H24,8,FALSE)</f>
        <v>340.14122999999995</v>
      </c>
      <c r="AJ36" s="149" t="s">
        <v>401</v>
      </c>
      <c r="AK36" s="88">
        <f>270*VLOOKUP(50424,StageData!A2:H24,7,FALSE)*VLOOKUP(50424,StageData!A2:H24,8,FALSE)</f>
        <v>330.11549999999994</v>
      </c>
      <c r="AL36" s="88">
        <f>((P36*O36)+(N36*M36))*L36*(K36+AK36)</f>
        <v>0</v>
      </c>
      <c r="AM36" s="88">
        <f>(K36+AK36)*L36*V36</f>
        <v>66023.099999999991</v>
      </c>
      <c r="AN36" s="88">
        <f>268.2*VLOOKUP(50423,StageData!A2:H24,7,FALSE)*VLOOKUP(50423,StageData!A2:H24,8,FALSE)</f>
        <v>327.91472999999991</v>
      </c>
      <c r="AO36" s="149" t="s">
        <v>401</v>
      </c>
      <c r="AP36" s="149" t="s">
        <v>401</v>
      </c>
      <c r="AQ36" s="88">
        <f>145*VLOOKUP(50423,StageData!A2:H24,7,FALSE)*VLOOKUP(50423,StageData!A2:H24,8,FALSE)</f>
        <v>177.28424999999996</v>
      </c>
      <c r="AR36" s="88">
        <f>((P36*O36)+(N36*M36))*L36*(K36+AQ36)</f>
        <v>0</v>
      </c>
      <c r="AS36" s="88">
        <f>(K36+AQ36)*L36*V36</f>
        <v>35456.849999999991</v>
      </c>
      <c r="AT36" s="88">
        <f>282*VLOOKUP(50425,StageData!A2:H24,7,FALSE)*VLOOKUP(50425,StageData!A2:H24,8,FALSE)</f>
        <v>344.78729999999996</v>
      </c>
      <c r="AU36" s="157">
        <f t="shared" si="0"/>
        <v>116.02499999999998</v>
      </c>
      <c r="AV36" s="75">
        <f>230*VLOOKUP(50425,StageData!A2:H24,7,FALSE)*VLOOKUP(50425,StageData!A2:H24,8,FALSE)</f>
        <v>281.20949999999999</v>
      </c>
      <c r="AW36" s="59">
        <f>((P36*O36)+(N36*M36))*L36*(K36+AV36)</f>
        <v>0</v>
      </c>
      <c r="AX36" s="81">
        <f>(K36+AV36)*L36*V36</f>
        <v>56241.9</v>
      </c>
      <c r="AY36" s="62"/>
    </row>
    <row r="37" spans="1:51" ht="114" customHeight="1" thickBot="1" x14ac:dyDescent="0.4">
      <c r="A37" s="155" t="s">
        <v>318</v>
      </c>
      <c r="B37" s="55" t="s">
        <v>319</v>
      </c>
      <c r="C37" s="55" t="str">
        <f>VLOOKUP(0,LT!A1:E14,2,FALSE)</f>
        <v>הקפצות</v>
      </c>
      <c r="D37" s="56" t="s">
        <v>317</v>
      </c>
      <c r="E37" s="55" t="s">
        <v>264</v>
      </c>
      <c r="F37" s="56" t="s">
        <v>291</v>
      </c>
      <c r="G37" s="55">
        <v>30</v>
      </c>
      <c r="H37" s="55">
        <v>60</v>
      </c>
      <c r="I37" s="55">
        <v>14</v>
      </c>
      <c r="J37" s="55">
        <v>0</v>
      </c>
      <c r="K37" s="57">
        <f>0*(VLOOKUP("###VatValue###",AuctionDetails!A1:C28,2,FALSE)+1)*(VLOOKUP("###Commission###",AuctionDetails!A1:C28,2,FALSE)+1)</f>
        <v>0</v>
      </c>
      <c r="L37" s="55">
        <v>1</v>
      </c>
      <c r="M37" s="55">
        <v>1</v>
      </c>
      <c r="N37" s="55">
        <v>0</v>
      </c>
      <c r="O37" s="55">
        <v>1</v>
      </c>
      <c r="P37" s="55">
        <v>0</v>
      </c>
      <c r="Q37" s="55">
        <v>100</v>
      </c>
      <c r="R37" s="55" t="s">
        <v>8</v>
      </c>
      <c r="S37" s="148" t="s">
        <v>401</v>
      </c>
      <c r="T37" s="57">
        <f>0*(VLOOKUP("###VatValue###",AuctionDetails!A1:C28,2,FALSE)+1)*(VLOOKUP("###Commission###",AuctionDetails!A1:C28,2,FALSE)+1)</f>
        <v>0</v>
      </c>
      <c r="U37" s="148" t="s">
        <v>401</v>
      </c>
      <c r="V37" s="58">
        <v>200</v>
      </c>
      <c r="W37" s="60" t="s">
        <v>232</v>
      </c>
      <c r="X37" s="88" t="s">
        <v>390</v>
      </c>
      <c r="Y37" s="93">
        <f>AQ37/1.17</f>
        <v>151.52499999999998</v>
      </c>
      <c r="Z37" s="96">
        <v>78.400000000000006</v>
      </c>
      <c r="AA37" s="149" t="s">
        <v>401</v>
      </c>
      <c r="AB37" s="88" t="s">
        <v>232</v>
      </c>
      <c r="AC37" s="88" t="s">
        <v>232</v>
      </c>
      <c r="AD37" s="88" t="s">
        <v>232</v>
      </c>
      <c r="AE37" s="88" t="s">
        <v>234</v>
      </c>
      <c r="AF37" s="88" t="s">
        <v>234</v>
      </c>
      <c r="AG37" s="88" t="s">
        <v>234</v>
      </c>
      <c r="AH37" s="88" t="s">
        <v>234</v>
      </c>
      <c r="AI37" s="88">
        <f>305.5*VLOOKUP(50424,StageData!A2:H24,7,FALSE)*VLOOKUP(50424,StageData!A2:H24,8,FALSE)</f>
        <v>373.51957499999997</v>
      </c>
      <c r="AJ37" s="149" t="s">
        <v>401</v>
      </c>
      <c r="AK37" s="88">
        <f>300*VLOOKUP(50424,StageData!A2:H24,7,FALSE)*VLOOKUP(50424,StageData!A2:H24,8,FALSE)</f>
        <v>366.79499999999996</v>
      </c>
      <c r="AL37" s="88">
        <f>((P37*O37)+(N37*M37))*L37*(K37+AK37)</f>
        <v>0</v>
      </c>
      <c r="AM37" s="88">
        <f>(K37+AK37)*L37*V37</f>
        <v>73358.999999999985</v>
      </c>
      <c r="AN37" s="88">
        <f>294.4*VLOOKUP(50423,StageData!A2:H24,7,FALSE)*VLOOKUP(50423,StageData!A2:H24,8,FALSE)</f>
        <v>359.94815999999992</v>
      </c>
      <c r="AO37" s="149" t="s">
        <v>401</v>
      </c>
      <c r="AP37" s="149" t="s">
        <v>401</v>
      </c>
      <c r="AQ37" s="88">
        <f>145*VLOOKUP(50423,StageData!A2:H24,7,FALSE)*VLOOKUP(50423,StageData!A2:H24,8,FALSE)</f>
        <v>177.28424999999996</v>
      </c>
      <c r="AR37" s="88">
        <f>((P37*O37)+(N37*M37))*L37*(K37+AQ37)</f>
        <v>0</v>
      </c>
      <c r="AS37" s="88">
        <f>(K37+AQ37)*L37*V37</f>
        <v>35456.849999999991</v>
      </c>
      <c r="AT37" s="88">
        <f>309.7*VLOOKUP(50425,StageData!A2:H24,7,FALSE)*VLOOKUP(50425,StageData!A2:H24,8,FALSE)</f>
        <v>378.65470499999992</v>
      </c>
      <c r="AU37" s="157">
        <f t="shared" si="0"/>
        <v>73.124999999999972</v>
      </c>
      <c r="AV37" s="75">
        <f>250*VLOOKUP(50425,StageData!A2:H24,7,FALSE)*VLOOKUP(50425,StageData!A2:H24,8,FALSE)</f>
        <v>305.66249999999997</v>
      </c>
      <c r="AW37" s="59">
        <f>((P37*O37)+(N37*M37))*L37*(K37+AV37)</f>
        <v>0</v>
      </c>
      <c r="AX37" s="81">
        <f>(K37+AV37)*L37*V37</f>
        <v>61132.499999999993</v>
      </c>
      <c r="AY37" s="62"/>
    </row>
    <row r="38" spans="1:51" ht="114" customHeight="1" thickBot="1" x14ac:dyDescent="0.4">
      <c r="A38" s="155" t="s">
        <v>320</v>
      </c>
      <c r="B38" s="55" t="s">
        <v>321</v>
      </c>
      <c r="C38" s="55" t="str">
        <f>VLOOKUP(0,LT!A1:E14,2,FALSE)</f>
        <v>הקפצות</v>
      </c>
      <c r="D38" s="56" t="s">
        <v>317</v>
      </c>
      <c r="E38" s="55" t="s">
        <v>296</v>
      </c>
      <c r="F38" s="56" t="s">
        <v>291</v>
      </c>
      <c r="G38" s="55">
        <v>30</v>
      </c>
      <c r="H38" s="55">
        <v>60</v>
      </c>
      <c r="I38" s="55">
        <v>19</v>
      </c>
      <c r="J38" s="55">
        <v>0</v>
      </c>
      <c r="K38" s="57">
        <f>0*(VLOOKUP("###VatValue###",AuctionDetails!A1:C28,2,FALSE)+1)*(VLOOKUP("###Commission###",AuctionDetails!A1:C28,2,FALSE)+1)</f>
        <v>0</v>
      </c>
      <c r="L38" s="55">
        <v>1</v>
      </c>
      <c r="M38" s="55">
        <v>1</v>
      </c>
      <c r="N38" s="55">
        <v>0</v>
      </c>
      <c r="O38" s="55">
        <v>1</v>
      </c>
      <c r="P38" s="55">
        <v>0</v>
      </c>
      <c r="Q38" s="55">
        <v>100</v>
      </c>
      <c r="R38" s="55" t="s">
        <v>8</v>
      </c>
      <c r="S38" s="148" t="s">
        <v>401</v>
      </c>
      <c r="T38" s="57">
        <f>0*(VLOOKUP("###VatValue###",AuctionDetails!A1:C28,2,FALSE)+1)*(VLOOKUP("###Commission###",AuctionDetails!A1:C28,2,FALSE)+1)</f>
        <v>0</v>
      </c>
      <c r="U38" s="148" t="s">
        <v>401</v>
      </c>
      <c r="V38" s="58">
        <v>200</v>
      </c>
      <c r="W38" s="60" t="s">
        <v>232</v>
      </c>
      <c r="X38" s="88" t="s">
        <v>390</v>
      </c>
      <c r="Y38" s="93">
        <f>AQ38/1.17</f>
        <v>177.64999999999998</v>
      </c>
      <c r="Z38" s="96">
        <v>78.400000000000006</v>
      </c>
      <c r="AA38" s="149" t="s">
        <v>401</v>
      </c>
      <c r="AB38" s="88" t="s">
        <v>232</v>
      </c>
      <c r="AC38" s="88" t="s">
        <v>232</v>
      </c>
      <c r="AD38" s="88" t="s">
        <v>232</v>
      </c>
      <c r="AE38" s="88" t="s">
        <v>234</v>
      </c>
      <c r="AF38" s="88" t="s">
        <v>234</v>
      </c>
      <c r="AG38" s="88" t="s">
        <v>234</v>
      </c>
      <c r="AH38" s="88" t="s">
        <v>234</v>
      </c>
      <c r="AI38" s="88">
        <f>393.1*VLOOKUP(50424,StageData!A2:H24,7,FALSE)*VLOOKUP(50424,StageData!A2:H24,8,FALSE)</f>
        <v>480.62371499999995</v>
      </c>
      <c r="AJ38" s="149" t="s">
        <v>401</v>
      </c>
      <c r="AK38" s="88">
        <f>390*VLOOKUP(50424,StageData!A2:H24,7,FALSE)*VLOOKUP(50424,StageData!A2:H24,8,FALSE)</f>
        <v>476.8334999999999</v>
      </c>
      <c r="AL38" s="88">
        <f>((P38*O38)+(N38*M38))*L38*(K38+AK38)</f>
        <v>0</v>
      </c>
      <c r="AM38" s="88">
        <f>(K38+AK38)*L38*V38</f>
        <v>95366.699999999983</v>
      </c>
      <c r="AN38" s="88">
        <f>379.3*VLOOKUP(50423,StageData!A2:H24,7,FALSE)*VLOOKUP(50423,StageData!A2:H24,8,FALSE)</f>
        <v>463.75114499999995</v>
      </c>
      <c r="AO38" s="149" t="s">
        <v>401</v>
      </c>
      <c r="AP38" s="149" t="s">
        <v>401</v>
      </c>
      <c r="AQ38" s="88">
        <f>170*VLOOKUP(50423,StageData!A2:H24,7,FALSE)*VLOOKUP(50423,StageData!A2:H24,8,FALSE)</f>
        <v>207.85049999999995</v>
      </c>
      <c r="AR38" s="88">
        <f>((P38*O38)+(N38*M38))*L38*(K38+AQ38)</f>
        <v>0</v>
      </c>
      <c r="AS38" s="88">
        <f>(K38+AQ38)*L38*V38</f>
        <v>41570.099999999991</v>
      </c>
      <c r="AT38" s="88">
        <f>398.3*VLOOKUP(50425,StageData!A2:H24,7,FALSE)*VLOOKUP(50425,StageData!A2:H24,8,FALSE)</f>
        <v>486.981495</v>
      </c>
      <c r="AU38" s="157">
        <f t="shared" si="0"/>
        <v>99.249999999999972</v>
      </c>
      <c r="AV38" s="75">
        <f>300*VLOOKUP(50425,StageData!A2:H24,7,FALSE)*VLOOKUP(50425,StageData!A2:H24,8,FALSE)</f>
        <v>366.79499999999996</v>
      </c>
      <c r="AW38" s="59">
        <f>((P38*O38)+(N38*M38))*L38*(K38+AV38)</f>
        <v>0</v>
      </c>
      <c r="AX38" s="81">
        <f>(K38+AV38)*L38*V38</f>
        <v>73358.999999999985</v>
      </c>
      <c r="AY38" s="62"/>
    </row>
    <row r="39" spans="1:51" s="54" customFormat="1" ht="58.5" customHeight="1" thickBot="1" x14ac:dyDescent="0.4">
      <c r="A39" s="99" t="s">
        <v>384</v>
      </c>
      <c r="B39" s="184" t="s">
        <v>401</v>
      </c>
      <c r="C39" s="184" t="s">
        <v>401</v>
      </c>
      <c r="D39" s="184" t="s">
        <v>401</v>
      </c>
      <c r="E39" s="184" t="s">
        <v>401</v>
      </c>
      <c r="F39" s="184" t="s">
        <v>401</v>
      </c>
      <c r="G39" s="184" t="s">
        <v>401</v>
      </c>
      <c r="H39" s="184" t="s">
        <v>401</v>
      </c>
      <c r="I39" s="184" t="s">
        <v>401</v>
      </c>
      <c r="J39" s="184" t="s">
        <v>401</v>
      </c>
      <c r="K39" s="184" t="s">
        <v>401</v>
      </c>
      <c r="L39" s="184" t="s">
        <v>401</v>
      </c>
      <c r="M39" s="184" t="s">
        <v>401</v>
      </c>
      <c r="N39" s="184" t="s">
        <v>401</v>
      </c>
      <c r="O39" s="184" t="s">
        <v>401</v>
      </c>
      <c r="P39" s="184" t="s">
        <v>401</v>
      </c>
      <c r="Q39" s="184" t="s">
        <v>401</v>
      </c>
      <c r="R39" s="184" t="s">
        <v>401</v>
      </c>
      <c r="S39" s="184" t="s">
        <v>401</v>
      </c>
      <c r="T39" s="184" t="s">
        <v>401</v>
      </c>
      <c r="U39" s="184" t="s">
        <v>401</v>
      </c>
      <c r="V39" s="185" t="s">
        <v>401</v>
      </c>
      <c r="W39" s="51" t="s">
        <v>234</v>
      </c>
      <c r="X39" s="149" t="s">
        <v>401</v>
      </c>
      <c r="Y39" s="189" t="s">
        <v>401</v>
      </c>
      <c r="Z39" s="190" t="s">
        <v>401</v>
      </c>
      <c r="AA39" s="149" t="s">
        <v>401</v>
      </c>
      <c r="AB39" s="149" t="s">
        <v>401</v>
      </c>
      <c r="AC39" s="149" t="s">
        <v>401</v>
      </c>
      <c r="AD39" s="149" t="s">
        <v>401</v>
      </c>
      <c r="AE39" s="149" t="s">
        <v>401</v>
      </c>
      <c r="AF39" s="149" t="s">
        <v>401</v>
      </c>
      <c r="AG39" s="149" t="s">
        <v>401</v>
      </c>
      <c r="AH39" s="149" t="s">
        <v>401</v>
      </c>
      <c r="AI39" s="149" t="s">
        <v>401</v>
      </c>
      <c r="AJ39" s="149" t="s">
        <v>401</v>
      </c>
      <c r="AK39" s="149" t="s">
        <v>401</v>
      </c>
      <c r="AL39" s="149" t="s">
        <v>401</v>
      </c>
      <c r="AM39" s="149" t="s">
        <v>401</v>
      </c>
      <c r="AN39" s="149" t="s">
        <v>401</v>
      </c>
      <c r="AO39" s="149" t="s">
        <v>401</v>
      </c>
      <c r="AP39" s="149" t="s">
        <v>401</v>
      </c>
      <c r="AQ39" s="149" t="s">
        <v>401</v>
      </c>
      <c r="AR39" s="149" t="s">
        <v>401</v>
      </c>
      <c r="AS39" s="149" t="s">
        <v>401</v>
      </c>
      <c r="AT39" s="149" t="s">
        <v>401</v>
      </c>
      <c r="AU39" s="158" t="s">
        <v>401</v>
      </c>
      <c r="AV39" s="146" t="s">
        <v>401</v>
      </c>
      <c r="AW39" s="151" t="s">
        <v>401</v>
      </c>
      <c r="AX39" s="152" t="s">
        <v>401</v>
      </c>
      <c r="AY39" s="53"/>
    </row>
    <row r="40" spans="1:51" ht="99" customHeight="1" thickBot="1" x14ac:dyDescent="0.4">
      <c r="A40" s="155" t="s">
        <v>322</v>
      </c>
      <c r="B40" s="55" t="s">
        <v>323</v>
      </c>
      <c r="C40" s="55" t="str">
        <f>VLOOKUP(2,LT!A1:E14,2,FALSE)</f>
        <v>רווחה</v>
      </c>
      <c r="D40" s="56" t="s">
        <v>324</v>
      </c>
      <c r="E40" s="55" t="s">
        <v>247</v>
      </c>
      <c r="F40" s="56" t="s">
        <v>325</v>
      </c>
      <c r="G40" s="55">
        <v>25</v>
      </c>
      <c r="H40" s="55">
        <v>60</v>
      </c>
      <c r="I40" s="55">
        <v>4</v>
      </c>
      <c r="J40" s="55">
        <v>0</v>
      </c>
      <c r="K40" s="57">
        <f>0*(VLOOKUP("###VatValue###",AuctionDetails!A1:C28,2,FALSE)+1)*(VLOOKUP("###Commission###",AuctionDetails!A1:C28,2,FALSE)+1)</f>
        <v>0</v>
      </c>
      <c r="L40" s="55">
        <v>1</v>
      </c>
      <c r="M40" s="55">
        <v>1</v>
      </c>
      <c r="N40" s="55">
        <v>5</v>
      </c>
      <c r="O40" s="55">
        <v>1</v>
      </c>
      <c r="P40" s="55">
        <v>5</v>
      </c>
      <c r="Q40" s="55">
        <v>0</v>
      </c>
      <c r="R40" s="55" t="s">
        <v>8</v>
      </c>
      <c r="S40" s="148" t="s">
        <v>401</v>
      </c>
      <c r="T40" s="57">
        <f>0*(VLOOKUP("###VatValue###",AuctionDetails!A1:C28,2,FALSE)+1)*(VLOOKUP("###Commission###",AuctionDetails!A1:C28,2,FALSE)+1)</f>
        <v>0</v>
      </c>
      <c r="U40" s="148" t="s">
        <v>401</v>
      </c>
      <c r="V40" s="58">
        <v>467</v>
      </c>
      <c r="W40" s="60" t="s">
        <v>234</v>
      </c>
      <c r="X40" s="88" t="s">
        <v>390</v>
      </c>
      <c r="Y40" s="93">
        <f>AQ40/1.17</f>
        <v>131.66999999999999</v>
      </c>
      <c r="Z40" s="96">
        <v>73.2</v>
      </c>
      <c r="AA40" s="149" t="s">
        <v>401</v>
      </c>
      <c r="AB40" s="88" t="s">
        <v>234</v>
      </c>
      <c r="AC40" s="88" t="s">
        <v>234</v>
      </c>
      <c r="AD40" s="88" t="s">
        <v>234</v>
      </c>
      <c r="AE40" s="88">
        <f>152.7*VLOOKUP(50427,StageData!A2:H24,7,FALSE)*VLOOKUP(50427,StageData!A2:H24,8,FALSE)</f>
        <v>186.69865499999997</v>
      </c>
      <c r="AF40" s="88">
        <f>145*VLOOKUP(50427,StageData!A2:H24,7,FALSE)*VLOOKUP(50427,StageData!A2:H24,8,FALSE)</f>
        <v>177.28424999999996</v>
      </c>
      <c r="AG40" s="88">
        <f>((P40*O40)+(N40*M40))*L40*(K40+AF40)</f>
        <v>1772.8424999999995</v>
      </c>
      <c r="AH40" s="88">
        <f>(K40+AF40)*L40*V40</f>
        <v>82791.744749999983</v>
      </c>
      <c r="AI40" s="88">
        <f>150.3*VLOOKUP(50424,StageData!A2:H24,7,FALSE)*VLOOKUP(50424,StageData!A2:H24,8,FALSE)</f>
        <v>183.764295</v>
      </c>
      <c r="AJ40" s="149" t="s">
        <v>401</v>
      </c>
      <c r="AK40" s="88">
        <f>145*VLOOKUP(50424,StageData!A2:H24,7,FALSE)*VLOOKUP(50424,StageData!A2:H24,8,FALSE)</f>
        <v>177.28424999999996</v>
      </c>
      <c r="AL40" s="88">
        <f>((P40*O40)+(N40*M40))*L40*(K40+AK40)</f>
        <v>1772.8424999999995</v>
      </c>
      <c r="AM40" s="88">
        <f>(K40+AK40)*L40*V40</f>
        <v>82791.744749999983</v>
      </c>
      <c r="AN40" s="88">
        <f>144.3*VLOOKUP(50423,StageData!A2:H24,7,FALSE)*VLOOKUP(50423,StageData!A2:H24,8,FALSE)</f>
        <v>176.42839499999999</v>
      </c>
      <c r="AO40" s="149" t="s">
        <v>401</v>
      </c>
      <c r="AP40" s="149" t="s">
        <v>401</v>
      </c>
      <c r="AQ40" s="88">
        <f>126*VLOOKUP(50423,StageData!A2:H24,7,FALSE)*VLOOKUP(50423,StageData!A2:H24,8,FALSE)</f>
        <v>154.05389999999997</v>
      </c>
      <c r="AR40" s="88">
        <f>((P40*O40)+(N40*M40))*L40*(K40+AQ40)</f>
        <v>1540.5389999999998</v>
      </c>
      <c r="AS40" s="88">
        <f>(K40+AQ40)*L40*V40</f>
        <v>71943.171299999987</v>
      </c>
      <c r="AT40" s="88">
        <f>152.6*VLOOKUP(50425,StageData!A2:H24,7,FALSE)*VLOOKUP(50425,StageData!A2:H24,8,FALSE)</f>
        <v>186.57638999999998</v>
      </c>
      <c r="AU40" s="157">
        <f t="shared" si="0"/>
        <v>58.469999999999985</v>
      </c>
      <c r="AV40" s="75">
        <f>140*VLOOKUP(50425,StageData!A2:H24,7,FALSE)*VLOOKUP(50425,StageData!A2:H24,8,FALSE)</f>
        <v>171.17099999999996</v>
      </c>
      <c r="AW40" s="59">
        <f>((P40*O40)+(N40*M40))*L40*(K40+AV40)</f>
        <v>1711.7099999999996</v>
      </c>
      <c r="AX40" s="81">
        <f>(K40+AV40)*L40*V40</f>
        <v>79936.856999999989</v>
      </c>
      <c r="AY40" s="62"/>
    </row>
    <row r="41" spans="1:51" ht="99" customHeight="1" thickBot="1" x14ac:dyDescent="0.4">
      <c r="A41" s="155" t="s">
        <v>326</v>
      </c>
      <c r="B41" s="55" t="s">
        <v>327</v>
      </c>
      <c r="C41" s="55" t="str">
        <f>VLOOKUP(2,LT!A1:E14,2,FALSE)</f>
        <v>רווחה</v>
      </c>
      <c r="D41" s="56" t="s">
        <v>328</v>
      </c>
      <c r="E41" s="55" t="s">
        <v>247</v>
      </c>
      <c r="F41" s="56" t="s">
        <v>325</v>
      </c>
      <c r="G41" s="55">
        <v>25</v>
      </c>
      <c r="H41" s="55">
        <v>60</v>
      </c>
      <c r="I41" s="55">
        <v>4</v>
      </c>
      <c r="J41" s="55">
        <v>0</v>
      </c>
      <c r="K41" s="57">
        <f>0*(VLOOKUP("###VatValue###",AuctionDetails!A1:C28,2,FALSE)+1)*(VLOOKUP("###Commission###",AuctionDetails!A1:C28,2,FALSE)+1)</f>
        <v>0</v>
      </c>
      <c r="L41" s="55">
        <v>1</v>
      </c>
      <c r="M41" s="55">
        <v>1</v>
      </c>
      <c r="N41" s="55">
        <v>5</v>
      </c>
      <c r="O41" s="55">
        <v>1</v>
      </c>
      <c r="P41" s="55">
        <v>5</v>
      </c>
      <c r="Q41" s="55">
        <v>0</v>
      </c>
      <c r="R41" s="55" t="s">
        <v>8</v>
      </c>
      <c r="S41" s="148" t="s">
        <v>401</v>
      </c>
      <c r="T41" s="57">
        <f>0*(VLOOKUP("###VatValue###",AuctionDetails!A1:C28,2,FALSE)+1)*(VLOOKUP("###Commission###",AuctionDetails!A1:C28,2,FALSE)+1)</f>
        <v>0</v>
      </c>
      <c r="U41" s="148" t="s">
        <v>401</v>
      </c>
      <c r="V41" s="58">
        <v>467</v>
      </c>
      <c r="W41" s="60" t="s">
        <v>234</v>
      </c>
      <c r="X41" s="88" t="s">
        <v>390</v>
      </c>
      <c r="Y41" s="93">
        <f>AQ41/1.17</f>
        <v>131.66999999999999</v>
      </c>
      <c r="Z41" s="96">
        <v>73.2</v>
      </c>
      <c r="AA41" s="149" t="s">
        <v>401</v>
      </c>
      <c r="AB41" s="88" t="s">
        <v>234</v>
      </c>
      <c r="AC41" s="88" t="s">
        <v>234</v>
      </c>
      <c r="AD41" s="88" t="s">
        <v>234</v>
      </c>
      <c r="AE41" s="88">
        <f>152.7*VLOOKUP(50427,StageData!A2:H24,7,FALSE)*VLOOKUP(50427,StageData!A2:H24,8,FALSE)</f>
        <v>186.69865499999997</v>
      </c>
      <c r="AF41" s="88">
        <f>145*VLOOKUP(50427,StageData!A2:H24,7,FALSE)*VLOOKUP(50427,StageData!A2:H24,8,FALSE)</f>
        <v>177.28424999999996</v>
      </c>
      <c r="AG41" s="88">
        <f>((P41*O41)+(N41*M41))*L41*(K41+AF41)</f>
        <v>1772.8424999999995</v>
      </c>
      <c r="AH41" s="88">
        <f>(K41+AF41)*L41*V41</f>
        <v>82791.744749999983</v>
      </c>
      <c r="AI41" s="88">
        <f>150.3*VLOOKUP(50424,StageData!A2:H24,7,FALSE)*VLOOKUP(50424,StageData!A2:H24,8,FALSE)</f>
        <v>183.764295</v>
      </c>
      <c r="AJ41" s="149" t="s">
        <v>401</v>
      </c>
      <c r="AK41" s="88">
        <f>145*VLOOKUP(50424,StageData!A2:H24,7,FALSE)*VLOOKUP(50424,StageData!A2:H24,8,FALSE)</f>
        <v>177.28424999999996</v>
      </c>
      <c r="AL41" s="88">
        <f>((P41*O41)+(N41*M41))*L41*(K41+AK41)</f>
        <v>1772.8424999999995</v>
      </c>
      <c r="AM41" s="88">
        <f>(K41+AK41)*L41*V41</f>
        <v>82791.744749999983</v>
      </c>
      <c r="AN41" s="88">
        <f>144.3*VLOOKUP(50423,StageData!A2:H24,7,FALSE)*VLOOKUP(50423,StageData!A2:H24,8,FALSE)</f>
        <v>176.42839499999999</v>
      </c>
      <c r="AO41" s="149" t="s">
        <v>401</v>
      </c>
      <c r="AP41" s="149" t="s">
        <v>401</v>
      </c>
      <c r="AQ41" s="88">
        <f>126*VLOOKUP(50423,StageData!A2:H24,7,FALSE)*VLOOKUP(50423,StageData!A2:H24,8,FALSE)</f>
        <v>154.05389999999997</v>
      </c>
      <c r="AR41" s="88">
        <f>((P41*O41)+(N41*M41))*L41*(K41+AQ41)</f>
        <v>1540.5389999999998</v>
      </c>
      <c r="AS41" s="88">
        <f>(K41+AQ41)*L41*V41</f>
        <v>71943.171299999987</v>
      </c>
      <c r="AT41" s="88">
        <f>152.6*VLOOKUP(50425,StageData!A2:H24,7,FALSE)*VLOOKUP(50425,StageData!A2:H24,8,FALSE)</f>
        <v>186.57638999999998</v>
      </c>
      <c r="AU41" s="157">
        <f t="shared" si="0"/>
        <v>58.469999999999985</v>
      </c>
      <c r="AV41" s="75">
        <f>140*VLOOKUP(50425,StageData!A2:H24,7,FALSE)*VLOOKUP(50425,StageData!A2:H24,8,FALSE)</f>
        <v>171.17099999999996</v>
      </c>
      <c r="AW41" s="59">
        <f>((P41*O41)+(N41*M41))*L41*(K41+AV41)</f>
        <v>1711.7099999999996</v>
      </c>
      <c r="AX41" s="81">
        <f>(K41+AV41)*L41*V41</f>
        <v>79936.856999999989</v>
      </c>
      <c r="AY41" s="62"/>
    </row>
    <row r="42" spans="1:51" s="54" customFormat="1" ht="58.5" customHeight="1" thickBot="1" x14ac:dyDescent="0.4">
      <c r="A42" s="99" t="s">
        <v>329</v>
      </c>
      <c r="B42" s="184" t="s">
        <v>401</v>
      </c>
      <c r="C42" s="184" t="s">
        <v>401</v>
      </c>
      <c r="D42" s="184" t="s">
        <v>401</v>
      </c>
      <c r="E42" s="184" t="s">
        <v>401</v>
      </c>
      <c r="F42" s="184" t="s">
        <v>401</v>
      </c>
      <c r="G42" s="184" t="s">
        <v>401</v>
      </c>
      <c r="H42" s="184" t="s">
        <v>401</v>
      </c>
      <c r="I42" s="184" t="s">
        <v>401</v>
      </c>
      <c r="J42" s="184" t="s">
        <v>401</v>
      </c>
      <c r="K42" s="184" t="s">
        <v>401</v>
      </c>
      <c r="L42" s="184" t="s">
        <v>401</v>
      </c>
      <c r="M42" s="184" t="s">
        <v>401</v>
      </c>
      <c r="N42" s="184" t="s">
        <v>401</v>
      </c>
      <c r="O42" s="184" t="s">
        <v>401</v>
      </c>
      <c r="P42" s="184" t="s">
        <v>401</v>
      </c>
      <c r="Q42" s="184" t="s">
        <v>401</v>
      </c>
      <c r="R42" s="184" t="s">
        <v>401</v>
      </c>
      <c r="S42" s="184" t="s">
        <v>401</v>
      </c>
      <c r="T42" s="184" t="s">
        <v>401</v>
      </c>
      <c r="U42" s="184" t="s">
        <v>401</v>
      </c>
      <c r="V42" s="185" t="s">
        <v>401</v>
      </c>
      <c r="W42" s="51" t="s">
        <v>232</v>
      </c>
      <c r="X42" s="149" t="s">
        <v>401</v>
      </c>
      <c r="Y42" s="189" t="s">
        <v>401</v>
      </c>
      <c r="Z42" s="190" t="s">
        <v>401</v>
      </c>
      <c r="AA42" s="149" t="s">
        <v>401</v>
      </c>
      <c r="AB42" s="88" t="s">
        <v>232</v>
      </c>
      <c r="AC42" s="88" t="s">
        <v>232</v>
      </c>
      <c r="AD42" s="88" t="s">
        <v>232</v>
      </c>
      <c r="AE42" s="88">
        <f>489852*VLOOKUP(50427,StageData!A2:H24,7,FALSE)*VLOOKUP(50427,StageData!A2:H24,8,FALSE)</f>
        <v>598917.54779999994</v>
      </c>
      <c r="AF42" s="149" t="s">
        <v>401</v>
      </c>
      <c r="AG42" s="88">
        <f>SUMIFS(AG43:AG44,R43:R44,"כן")</f>
        <v>13974.889499999997</v>
      </c>
      <c r="AH42" s="88">
        <f>SUMIFS(AH43:AH44,R43:R44,"כן")</f>
        <v>512412.61499999987</v>
      </c>
      <c r="AI42" s="88">
        <f>482592*VLOOKUP(50424,StageData!A2:H24,7,FALSE)*VLOOKUP(50424,StageData!A2:H24,8,FALSE)</f>
        <v>590041.10879999993</v>
      </c>
      <c r="AJ42" s="149" t="s">
        <v>401</v>
      </c>
      <c r="AK42" s="149" t="s">
        <v>401</v>
      </c>
      <c r="AL42" s="88">
        <f>SUMIFS(AL43:AL44,R43:R44,"כן")</f>
        <v>15405.39</v>
      </c>
      <c r="AM42" s="88">
        <f>SUMIFS(AM43:AM44,R43:R44,"כן")</f>
        <v>564864.29999999993</v>
      </c>
      <c r="AN42" s="88">
        <f>464376*VLOOKUP(50423,StageData!A2:H24,7,FALSE)*VLOOKUP(50423,StageData!A2:H24,8,FALSE)</f>
        <v>567769.31639999989</v>
      </c>
      <c r="AO42" s="149" t="s">
        <v>401</v>
      </c>
      <c r="AP42" s="149" t="s">
        <v>401</v>
      </c>
      <c r="AQ42" s="149" t="s">
        <v>401</v>
      </c>
      <c r="AR42" s="88">
        <f>SUMIFS(AR43:AR44,R43:R44,"כן")</f>
        <v>14899.212899999999</v>
      </c>
      <c r="AS42" s="88">
        <f>SUMIFS(AS43:AS44,R43:R44,"כן")</f>
        <v>546304.473</v>
      </c>
      <c r="AT42" s="88">
        <f>489588*VLOOKUP(50425,StageData!A2:H24,7,FALSE)*VLOOKUP(50425,StageData!A2:H24,8,FALSE)</f>
        <v>598594.76819999993</v>
      </c>
      <c r="AU42" s="158" t="s">
        <v>401</v>
      </c>
      <c r="AV42" s="146" t="s">
        <v>401</v>
      </c>
      <c r="AW42" s="51">
        <f>SUMIFS(AW43:AW44,R43:R44,"כן")</f>
        <v>15493.420799999996</v>
      </c>
      <c r="AX42" s="80">
        <f>SUMIFS(AX43:AX44,R43:R44,"כן")</f>
        <v>568092.0959999999</v>
      </c>
      <c r="AY42" s="53" t="s">
        <v>16</v>
      </c>
    </row>
    <row r="43" spans="1:51" ht="126.75" customHeight="1" thickBot="1" x14ac:dyDescent="0.4">
      <c r="A43" s="155" t="s">
        <v>330</v>
      </c>
      <c r="B43" s="55" t="s">
        <v>331</v>
      </c>
      <c r="C43" s="55" t="str">
        <f>VLOOKUP(3,LT!A1:E14,2,FALSE)</f>
        <v>חינוך רגיל</v>
      </c>
      <c r="D43" s="56" t="s">
        <v>332</v>
      </c>
      <c r="E43" s="55" t="s">
        <v>333</v>
      </c>
      <c r="F43" s="56" t="s">
        <v>334</v>
      </c>
      <c r="G43" s="55">
        <v>10</v>
      </c>
      <c r="H43" s="55">
        <v>60</v>
      </c>
      <c r="I43" s="55">
        <v>50</v>
      </c>
      <c r="J43" s="55">
        <v>0</v>
      </c>
      <c r="K43" s="57">
        <f>0*(VLOOKUP("###VatValue###",AuctionDetails!A1:C28,2,FALSE)+1)*(VLOOKUP("###Commission###",AuctionDetails!A1:C28,2,FALSE)+1)</f>
        <v>0</v>
      </c>
      <c r="L43" s="55">
        <v>1</v>
      </c>
      <c r="M43" s="55">
        <v>1</v>
      </c>
      <c r="N43" s="55">
        <v>6</v>
      </c>
      <c r="O43" s="55">
        <v>2</v>
      </c>
      <c r="P43" s="55">
        <v>6</v>
      </c>
      <c r="Q43" s="55">
        <v>0</v>
      </c>
      <c r="R43" s="55" t="s">
        <v>8</v>
      </c>
      <c r="S43" s="148" t="s">
        <v>401</v>
      </c>
      <c r="T43" s="57">
        <f>0*(VLOOKUP("###VatValue###",AuctionDetails!A1:C28,2,FALSE)+1)*(VLOOKUP("###Commission###",AuctionDetails!A1:C28,2,FALSE)+1)</f>
        <v>0</v>
      </c>
      <c r="U43" s="148" t="s">
        <v>401</v>
      </c>
      <c r="V43" s="58">
        <v>660</v>
      </c>
      <c r="W43" s="60" t="s">
        <v>232</v>
      </c>
      <c r="X43" s="88" t="s">
        <v>393</v>
      </c>
      <c r="Y43" s="93">
        <f>AF43/1.17</f>
        <v>303.04999999999995</v>
      </c>
      <c r="Z43" s="96" t="s">
        <v>397</v>
      </c>
      <c r="AA43" s="149" t="s">
        <v>401</v>
      </c>
      <c r="AB43" s="88" t="s">
        <v>232</v>
      </c>
      <c r="AC43" s="88" t="s">
        <v>232</v>
      </c>
      <c r="AD43" s="88" t="s">
        <v>232</v>
      </c>
      <c r="AE43" s="88">
        <f>323.1*VLOOKUP(50427,StageData!A2:H24,7,FALSE)*VLOOKUP(50427,StageData!A2:H24,8,FALSE)</f>
        <v>395.03821499999998</v>
      </c>
      <c r="AF43" s="88">
        <f>290*VLOOKUP(50427,StageData!A2:H24,7,FALSE)*VLOOKUP(50427,StageData!A2:H24,8,FALSE)</f>
        <v>354.56849999999991</v>
      </c>
      <c r="AG43" s="88">
        <f>((P43*O43)+(N43*M43))*L43*(K43+AF43)</f>
        <v>6382.2329999999984</v>
      </c>
      <c r="AH43" s="88">
        <f>(K43+AF43)*L43*V43</f>
        <v>234015.20999999993</v>
      </c>
      <c r="AI43" s="88">
        <f>317.6*VLOOKUP(50424,StageData!A2:H24,7,FALSE)*VLOOKUP(50424,StageData!A2:H24,8,FALSE)</f>
        <v>388.31363999999996</v>
      </c>
      <c r="AJ43" s="149" t="s">
        <v>401</v>
      </c>
      <c r="AK43" s="88">
        <f>305*VLOOKUP(50424,StageData!A2:H24,7,FALSE)*VLOOKUP(50424,StageData!A2:H24,8,FALSE)</f>
        <v>372.90824999999995</v>
      </c>
      <c r="AL43" s="88">
        <f>((P43*O43)+(N43*M43))*L43*(K43+AK43)</f>
        <v>6712.3484999999991</v>
      </c>
      <c r="AM43" s="88">
        <f>(K43+AK43)*L43*V43</f>
        <v>246119.44499999998</v>
      </c>
      <c r="AN43" s="88">
        <f>303.8*VLOOKUP(50423,StageData!A2:H24,7,FALSE)*VLOOKUP(50423,StageData!A2:H24,8,FALSE)</f>
        <v>371.44106999999997</v>
      </c>
      <c r="AO43" s="149" t="s">
        <v>401</v>
      </c>
      <c r="AP43" s="149" t="s">
        <v>401</v>
      </c>
      <c r="AQ43" s="88">
        <f>302*VLOOKUP(50423,StageData!A2:H24,7,FALSE)*VLOOKUP(50423,StageData!A2:H24,8,FALSE)</f>
        <v>369.24029999999993</v>
      </c>
      <c r="AR43" s="88">
        <f>((P43*O43)+(N43*M43))*L43*(K43+AQ43)</f>
        <v>6646.3253999999988</v>
      </c>
      <c r="AS43" s="88">
        <f>(K43+AQ43)*L43*V43</f>
        <v>243698.59799999997</v>
      </c>
      <c r="AT43" s="88">
        <f>322.9*VLOOKUP(50425,StageData!A2:H24,7,FALSE)*VLOOKUP(50425,StageData!A2:H24,8,FALSE)</f>
        <v>394.79368499999993</v>
      </c>
      <c r="AU43" s="158" t="s">
        <v>401</v>
      </c>
      <c r="AV43" s="75">
        <f>304*VLOOKUP(50425,StageData!A2:H24,7,FALSE)*VLOOKUP(50425,StageData!A2:H24,8,FALSE)</f>
        <v>371.68559999999991</v>
      </c>
      <c r="AW43" s="59">
        <f>((P43*O43)+(N43*M43))*L43*(K43+AV43)</f>
        <v>6690.3407999999981</v>
      </c>
      <c r="AX43" s="81">
        <f>(K43+AV43)*L43*V43</f>
        <v>245312.49599999993</v>
      </c>
      <c r="AY43" s="62"/>
    </row>
    <row r="44" spans="1:51" ht="126.75" customHeight="1" thickBot="1" x14ac:dyDescent="0.4">
      <c r="A44" s="155" t="s">
        <v>335</v>
      </c>
      <c r="B44" s="55" t="s">
        <v>336</v>
      </c>
      <c r="C44" s="55" t="str">
        <f>VLOOKUP(3,LT!A1:E14,2,FALSE)</f>
        <v>חינוך רגיל</v>
      </c>
      <c r="D44" s="56" t="s">
        <v>337</v>
      </c>
      <c r="E44" s="55" t="s">
        <v>333</v>
      </c>
      <c r="F44" s="56" t="s">
        <v>334</v>
      </c>
      <c r="G44" s="55">
        <v>20</v>
      </c>
      <c r="H44" s="55">
        <v>60</v>
      </c>
      <c r="I44" s="55">
        <v>50</v>
      </c>
      <c r="J44" s="55">
        <v>0</v>
      </c>
      <c r="K44" s="57">
        <f>0*(VLOOKUP("###VatValue###",AuctionDetails!A1:C28,2,FALSE)+1)*(VLOOKUP("###Commission###",AuctionDetails!A1:C28,2,FALSE)+1)</f>
        <v>0</v>
      </c>
      <c r="L44" s="55">
        <v>1</v>
      </c>
      <c r="M44" s="55">
        <v>1</v>
      </c>
      <c r="N44" s="55">
        <v>6</v>
      </c>
      <c r="O44" s="55">
        <v>2</v>
      </c>
      <c r="P44" s="55">
        <v>6</v>
      </c>
      <c r="Q44" s="55">
        <v>0</v>
      </c>
      <c r="R44" s="55" t="s">
        <v>8</v>
      </c>
      <c r="S44" s="148" t="s">
        <v>401</v>
      </c>
      <c r="T44" s="57">
        <f>0*(VLOOKUP("###VatValue###",AuctionDetails!A1:C28,2,FALSE)+1)*(VLOOKUP("###Commission###",AuctionDetails!A1:C28,2,FALSE)+1)</f>
        <v>0</v>
      </c>
      <c r="U44" s="148" t="s">
        <v>401</v>
      </c>
      <c r="V44" s="58">
        <v>660</v>
      </c>
      <c r="W44" s="60" t="s">
        <v>232</v>
      </c>
      <c r="X44" s="88" t="s">
        <v>393</v>
      </c>
      <c r="Y44" s="93">
        <f>AF44/1.17</f>
        <v>360.52499999999998</v>
      </c>
      <c r="Z44" s="96" t="s">
        <v>396</v>
      </c>
      <c r="AA44" s="149" t="s">
        <v>401</v>
      </c>
      <c r="AB44" s="88" t="s">
        <v>232</v>
      </c>
      <c r="AC44" s="88" t="s">
        <v>232</v>
      </c>
      <c r="AD44" s="88" t="s">
        <v>232</v>
      </c>
      <c r="AE44" s="88">
        <f>419.1*VLOOKUP(50427,StageData!A2:H24,7,FALSE)*VLOOKUP(50427,StageData!A2:H24,8,FALSE)</f>
        <v>512.41261499999996</v>
      </c>
      <c r="AF44" s="88">
        <f>345*VLOOKUP(50427,StageData!A2:H24,7,FALSE)*VLOOKUP(50427,StageData!A2:H24,8,FALSE)</f>
        <v>421.81424999999996</v>
      </c>
      <c r="AG44" s="88">
        <f>((P44*O44)+(N44*M44))*L44*(K44+AF44)</f>
        <v>7592.6564999999991</v>
      </c>
      <c r="AH44" s="88">
        <f>(K44+AF44)*L44*V44</f>
        <v>278397.40499999997</v>
      </c>
      <c r="AI44" s="88">
        <f>413.6*VLOOKUP(50424,StageData!A2:H24,7,FALSE)*VLOOKUP(50424,StageData!A2:H24,8,FALSE)</f>
        <v>505.68803999999994</v>
      </c>
      <c r="AJ44" s="149" t="s">
        <v>401</v>
      </c>
      <c r="AK44" s="88">
        <f>395*VLOOKUP(50424,StageData!A2:H24,7,FALSE)*VLOOKUP(50424,StageData!A2:H24,8,FALSE)</f>
        <v>482.94674999999995</v>
      </c>
      <c r="AL44" s="88">
        <f>((P44*O44)+(N44*M44))*L44*(K44+AK44)</f>
        <v>8693.0414999999994</v>
      </c>
      <c r="AM44" s="88">
        <f>(K44+AK44)*L44*V44</f>
        <v>318744.85499999998</v>
      </c>
      <c r="AN44" s="88">
        <f>399.8*VLOOKUP(50423,StageData!A2:H24,7,FALSE)*VLOOKUP(50423,StageData!A2:H24,8,FALSE)</f>
        <v>488.81546999999995</v>
      </c>
      <c r="AO44" s="149" t="s">
        <v>401</v>
      </c>
      <c r="AP44" s="149" t="s">
        <v>401</v>
      </c>
      <c r="AQ44" s="88">
        <f>375*VLOOKUP(50423,StageData!A2:H24,7,FALSE)*VLOOKUP(50423,StageData!A2:H24,8,FALSE)</f>
        <v>458.49374999999998</v>
      </c>
      <c r="AR44" s="88">
        <f>((P44*O44)+(N44*M44))*L44*(K44+AQ44)</f>
        <v>8252.8874999999989</v>
      </c>
      <c r="AS44" s="88">
        <f>(K44+AQ44)*L44*V44</f>
        <v>302605.875</v>
      </c>
      <c r="AT44" s="88">
        <f>418.9*VLOOKUP(50425,StageData!A2:H24,7,FALSE)*VLOOKUP(50425,StageData!A2:H24,8,FALSE)</f>
        <v>512.16808499999991</v>
      </c>
      <c r="AU44" s="158" t="s">
        <v>401</v>
      </c>
      <c r="AV44" s="75">
        <f>400*VLOOKUP(50425,StageData!A2:H24,7,FALSE)*VLOOKUP(50425,StageData!A2:H24,8,FALSE)</f>
        <v>489.05999999999995</v>
      </c>
      <c r="AW44" s="59">
        <f>((P44*O44)+(N44*M44))*L44*(K44+AV44)</f>
        <v>8803.0799999999981</v>
      </c>
      <c r="AX44" s="81">
        <f>(K44+AV44)*L44*V44</f>
        <v>322779.59999999998</v>
      </c>
      <c r="AY44" s="62"/>
    </row>
    <row r="45" spans="1:51" s="54" customFormat="1" ht="58.5" customHeight="1" thickBot="1" x14ac:dyDescent="0.4">
      <c r="A45" s="99" t="s">
        <v>338</v>
      </c>
      <c r="B45" s="184" t="s">
        <v>401</v>
      </c>
      <c r="C45" s="184" t="s">
        <v>401</v>
      </c>
      <c r="D45" s="184" t="s">
        <v>401</v>
      </c>
      <c r="E45" s="184" t="s">
        <v>401</v>
      </c>
      <c r="F45" s="184" t="s">
        <v>401</v>
      </c>
      <c r="G45" s="184" t="s">
        <v>401</v>
      </c>
      <c r="H45" s="184" t="s">
        <v>401</v>
      </c>
      <c r="I45" s="184" t="s">
        <v>401</v>
      </c>
      <c r="J45" s="184" t="s">
        <v>401</v>
      </c>
      <c r="K45" s="184" t="s">
        <v>401</v>
      </c>
      <c r="L45" s="184" t="s">
        <v>401</v>
      </c>
      <c r="M45" s="184" t="s">
        <v>401</v>
      </c>
      <c r="N45" s="184" t="s">
        <v>401</v>
      </c>
      <c r="O45" s="184" t="s">
        <v>401</v>
      </c>
      <c r="P45" s="184" t="s">
        <v>401</v>
      </c>
      <c r="Q45" s="184" t="s">
        <v>401</v>
      </c>
      <c r="R45" s="184" t="s">
        <v>401</v>
      </c>
      <c r="S45" s="184" t="s">
        <v>401</v>
      </c>
      <c r="T45" s="184" t="s">
        <v>401</v>
      </c>
      <c r="U45" s="184" t="s">
        <v>401</v>
      </c>
      <c r="V45" s="185" t="s">
        <v>401</v>
      </c>
      <c r="W45" s="51" t="s">
        <v>232</v>
      </c>
      <c r="X45" s="149" t="s">
        <v>401</v>
      </c>
      <c r="Y45" s="189" t="s">
        <v>401</v>
      </c>
      <c r="Z45" s="190" t="s">
        <v>401</v>
      </c>
      <c r="AA45" s="149" t="s">
        <v>401</v>
      </c>
      <c r="AB45" s="88" t="s">
        <v>232</v>
      </c>
      <c r="AC45" s="88" t="s">
        <v>232</v>
      </c>
      <c r="AD45" s="88" t="s">
        <v>232</v>
      </c>
      <c r="AE45" s="88">
        <f>309421.2*VLOOKUP(50427,StageData!A2:H24,7,FALSE)*VLOOKUP(50427,StageData!A2:H24,8,FALSE)</f>
        <v>378313.83017999993</v>
      </c>
      <c r="AF45" s="149" t="s">
        <v>401</v>
      </c>
      <c r="AG45" s="88">
        <f>SUMIFS(AG46:AG47,R46:R47,"כן")</f>
        <v>7555.976999999998</v>
      </c>
      <c r="AH45" s="88">
        <f>SUMIFS(AH46:AH47,R46:R47,"כן")</f>
        <v>277052.48999999993</v>
      </c>
      <c r="AI45" s="88">
        <f>304920*VLOOKUP(50424,StageData!A2:H24,7,FALSE)*VLOOKUP(50424,StageData!A2:H24,8,FALSE)</f>
        <v>372810.43799999997</v>
      </c>
      <c r="AJ45" s="149" t="s">
        <v>401</v>
      </c>
      <c r="AK45" s="149" t="s">
        <v>401</v>
      </c>
      <c r="AL45" s="88">
        <f>SUMIFS(AL46:AL47,R46:R47,"כן")</f>
        <v>8583.0029999999988</v>
      </c>
      <c r="AM45" s="88">
        <f>SUMIFS(AM46:AM47,R46:R47,"כן")</f>
        <v>314710.10999999993</v>
      </c>
      <c r="AN45" s="88">
        <f>293717.6*VLOOKUP(50423,StageData!A2:H24,7,FALSE)*VLOOKUP(50423,StageData!A2:H24,8,FALSE)</f>
        <v>359113.8236399999</v>
      </c>
      <c r="AO45" s="149" t="s">
        <v>401</v>
      </c>
      <c r="AP45" s="149" t="s">
        <v>401</v>
      </c>
      <c r="AQ45" s="149" t="s">
        <v>401</v>
      </c>
      <c r="AR45" s="88">
        <f>SUMIFS(AR46:AR47,R46:R47,"כן")</f>
        <v>9521.9981999999982</v>
      </c>
      <c r="AS45" s="88">
        <f>SUMIFS(AS46:AS47,R46:R47,"כן")</f>
        <v>349139.93399999995</v>
      </c>
      <c r="AT45" s="88">
        <f>309188*VLOOKUP(50425,StageData!A2:H24,7,FALSE)*VLOOKUP(50425,StageData!A2:H24,8,FALSE)</f>
        <v>378028.70819999994</v>
      </c>
      <c r="AU45" s="158" t="s">
        <v>401</v>
      </c>
      <c r="AV45" s="147" t="s">
        <v>401</v>
      </c>
      <c r="AW45" s="52">
        <f>SUMIFS(AW46:AW47,R46:R47,"כן")</f>
        <v>7262.5409999999993</v>
      </c>
      <c r="AX45" s="82">
        <f>SUMIFS(AX46:AX47,R46:R47,"כן")</f>
        <v>266293.16999999993</v>
      </c>
      <c r="AY45" s="53" t="s">
        <v>12</v>
      </c>
    </row>
    <row r="46" spans="1:51" ht="162" customHeight="1" thickBot="1" x14ac:dyDescent="0.4">
      <c r="A46" s="155" t="s">
        <v>339</v>
      </c>
      <c r="B46" s="55" t="s">
        <v>340</v>
      </c>
      <c r="C46" s="55" t="str">
        <f>VLOOKUP(3,LT!A1:E14,2,FALSE)</f>
        <v>חינוך רגיל</v>
      </c>
      <c r="D46" s="56" t="s">
        <v>341</v>
      </c>
      <c r="E46" s="55" t="s">
        <v>333</v>
      </c>
      <c r="F46" s="56" t="s">
        <v>342</v>
      </c>
      <c r="G46" s="55">
        <v>20</v>
      </c>
      <c r="H46" s="55">
        <v>60</v>
      </c>
      <c r="I46" s="55">
        <v>50</v>
      </c>
      <c r="J46" s="55">
        <v>0</v>
      </c>
      <c r="K46" s="57">
        <f>0*(VLOOKUP("###VatValue###",AuctionDetails!A1:C28,2,FALSE)+1)*(VLOOKUP("###Commission###",AuctionDetails!A1:C28,2,FALSE)+1)</f>
        <v>0</v>
      </c>
      <c r="L46" s="55">
        <v>1</v>
      </c>
      <c r="M46" s="55">
        <v>1</v>
      </c>
      <c r="N46" s="55">
        <v>6</v>
      </c>
      <c r="O46" s="55">
        <v>1</v>
      </c>
      <c r="P46" s="55">
        <v>6</v>
      </c>
      <c r="Q46" s="55">
        <v>0</v>
      </c>
      <c r="R46" s="55" t="s">
        <v>8</v>
      </c>
      <c r="S46" s="148" t="s">
        <v>401</v>
      </c>
      <c r="T46" s="57">
        <f>0*(VLOOKUP("###VatValue###",AuctionDetails!A1:C28,2,FALSE)+1)*(VLOOKUP("###Commission###",AuctionDetails!A1:C28,2,FALSE)+1)</f>
        <v>0</v>
      </c>
      <c r="U46" s="148" t="s">
        <v>401</v>
      </c>
      <c r="V46" s="58">
        <v>440</v>
      </c>
      <c r="W46" s="60" t="s">
        <v>232</v>
      </c>
      <c r="X46" s="88" t="s">
        <v>394</v>
      </c>
      <c r="Y46" s="93">
        <f>AV46/1.17</f>
        <v>397.09999999999997</v>
      </c>
      <c r="Z46" s="96" t="s">
        <v>396</v>
      </c>
      <c r="AA46" s="149" t="s">
        <v>401</v>
      </c>
      <c r="AB46" s="88" t="s">
        <v>232</v>
      </c>
      <c r="AC46" s="88" t="s">
        <v>232</v>
      </c>
      <c r="AD46" s="88" t="s">
        <v>232</v>
      </c>
      <c r="AE46" s="88">
        <f>419.1*VLOOKUP(50427,StageData!A2:H24,7,FALSE)*VLOOKUP(50427,StageData!A2:H24,8,FALSE)</f>
        <v>512.41261499999996</v>
      </c>
      <c r="AF46" s="88">
        <f>320*VLOOKUP(50427,StageData!A2:H24,7,FALSE)*VLOOKUP(50427,StageData!A2:H24,8,FALSE)</f>
        <v>391.24799999999993</v>
      </c>
      <c r="AG46" s="88">
        <f>((P46*O46)+(N46*M46))*L46*(K46+AF46)</f>
        <v>4694.9759999999987</v>
      </c>
      <c r="AH46" s="88">
        <f>(K46+AF46)*L46*V46</f>
        <v>172149.11999999997</v>
      </c>
      <c r="AI46" s="88">
        <f>413.6*VLOOKUP(50424,StageData!A2:H24,7,FALSE)*VLOOKUP(50424,StageData!A2:H24,8,FALSE)</f>
        <v>505.68803999999994</v>
      </c>
      <c r="AJ46" s="149" t="s">
        <v>401</v>
      </c>
      <c r="AK46" s="88">
        <f>365*VLOOKUP(50424,StageData!A2:H24,7,FALSE)*VLOOKUP(50424,StageData!A2:H24,8,FALSE)</f>
        <v>446.26724999999993</v>
      </c>
      <c r="AL46" s="88">
        <f>((P46*O46)+(N46*M46))*L46*(K46+AK46)</f>
        <v>5355.2069999999994</v>
      </c>
      <c r="AM46" s="88">
        <f>(K46+AK46)*L46*V46</f>
        <v>196357.58999999997</v>
      </c>
      <c r="AN46" s="88">
        <f>399.8*VLOOKUP(50423,StageData!A2:H24,7,FALSE)*VLOOKUP(50423,StageData!A2:H24,8,FALSE)</f>
        <v>488.81546999999995</v>
      </c>
      <c r="AO46" s="149" t="s">
        <v>401</v>
      </c>
      <c r="AP46" s="149" t="s">
        <v>401</v>
      </c>
      <c r="AQ46" s="88">
        <f>389*VLOOKUP(50423,StageData!A2:H24,7,FALSE)*VLOOKUP(50423,StageData!A2:H24,8,FALSE)</f>
        <v>475.61084999999997</v>
      </c>
      <c r="AR46" s="88">
        <f>((P46*O46)+(N46*M46))*L46*(K46+AQ46)</f>
        <v>5707.3301999999994</v>
      </c>
      <c r="AS46" s="88">
        <f>(K46+AQ46)*L46*V46</f>
        <v>209268.77399999998</v>
      </c>
      <c r="AT46" s="88">
        <f>418.9*VLOOKUP(50425,StageData!A2:H24,7,FALSE)*VLOOKUP(50425,StageData!A2:H24,8,FALSE)</f>
        <v>512.16808499999991</v>
      </c>
      <c r="AU46" s="158" t="s">
        <v>401</v>
      </c>
      <c r="AV46" s="76">
        <f>380*VLOOKUP(50425,StageData!A2:H24,7,FALSE)*VLOOKUP(50425,StageData!A2:H24,8,FALSE)</f>
        <v>464.60699999999991</v>
      </c>
      <c r="AW46" s="61">
        <f>((P46*O46)+(N46*M46))*L46*(K46+AV46)</f>
        <v>5575.2839999999987</v>
      </c>
      <c r="AX46" s="83">
        <f>(K46+AV46)*L46*V46</f>
        <v>204427.07999999996</v>
      </c>
      <c r="AY46" s="62"/>
    </row>
    <row r="47" spans="1:51" ht="162" customHeight="1" thickBot="1" x14ac:dyDescent="0.4">
      <c r="A47" s="155" t="s">
        <v>343</v>
      </c>
      <c r="B47" s="55" t="s">
        <v>344</v>
      </c>
      <c r="C47" s="55" t="str">
        <f>VLOOKUP(3,LT!A1:E14,2,FALSE)</f>
        <v>חינוך רגיל</v>
      </c>
      <c r="D47" s="56" t="s">
        <v>345</v>
      </c>
      <c r="E47" s="55" t="s">
        <v>296</v>
      </c>
      <c r="F47" s="56" t="s">
        <v>346</v>
      </c>
      <c r="G47" s="55">
        <v>19</v>
      </c>
      <c r="H47" s="55">
        <v>60</v>
      </c>
      <c r="I47" s="55">
        <v>19</v>
      </c>
      <c r="J47" s="55">
        <v>0</v>
      </c>
      <c r="K47" s="57">
        <f>0*(VLOOKUP("###VatValue###",AuctionDetails!A1:C28,2,FALSE)+1)*(VLOOKUP("###Commission###",AuctionDetails!A1:C28,2,FALSE)+1)</f>
        <v>0</v>
      </c>
      <c r="L47" s="55">
        <v>1</v>
      </c>
      <c r="M47" s="55">
        <v>0</v>
      </c>
      <c r="N47" s="55">
        <v>0</v>
      </c>
      <c r="O47" s="55">
        <v>2</v>
      </c>
      <c r="P47" s="55">
        <v>6</v>
      </c>
      <c r="Q47" s="55">
        <v>0</v>
      </c>
      <c r="R47" s="55" t="s">
        <v>8</v>
      </c>
      <c r="S47" s="148" t="s">
        <v>401</v>
      </c>
      <c r="T47" s="57">
        <f>0*(VLOOKUP("###VatValue###",AuctionDetails!A1:C28,2,FALSE)+1)*(VLOOKUP("###Commission###",AuctionDetails!A1:C28,2,FALSE)+1)</f>
        <v>0</v>
      </c>
      <c r="U47" s="148" t="s">
        <v>401</v>
      </c>
      <c r="V47" s="58">
        <v>440</v>
      </c>
      <c r="W47" s="60" t="s">
        <v>232</v>
      </c>
      <c r="X47" s="88" t="s">
        <v>394</v>
      </c>
      <c r="Y47" s="93">
        <f>AV47/1.17</f>
        <v>120.175</v>
      </c>
      <c r="Z47" s="96" t="s">
        <v>396</v>
      </c>
      <c r="AA47" s="149" t="s">
        <v>401</v>
      </c>
      <c r="AB47" s="88" t="s">
        <v>232</v>
      </c>
      <c r="AC47" s="88" t="s">
        <v>232</v>
      </c>
      <c r="AD47" s="88" t="s">
        <v>232</v>
      </c>
      <c r="AE47" s="88">
        <f>284.1*VLOOKUP(50427,StageData!A2:H24,7,FALSE)*VLOOKUP(50427,StageData!A2:H24,8,FALSE)</f>
        <v>347.35486499999996</v>
      </c>
      <c r="AF47" s="88">
        <f>195*VLOOKUP(50427,StageData!A2:H24,7,FALSE)*VLOOKUP(50427,StageData!A2:H24,8,FALSE)</f>
        <v>238.41674999999995</v>
      </c>
      <c r="AG47" s="88">
        <f>((P47*O47)+(N47*M47))*L47*(K47+AF47)</f>
        <v>2861.0009999999993</v>
      </c>
      <c r="AH47" s="88">
        <f>(K47+AF47)*L47*V47</f>
        <v>104903.36999999998</v>
      </c>
      <c r="AI47" s="88">
        <f>279.4*VLOOKUP(50424,StageData!A2:H24,7,FALSE)*VLOOKUP(50424,StageData!A2:H24,8,FALSE)</f>
        <v>341.60840999999994</v>
      </c>
      <c r="AJ47" s="149" t="s">
        <v>401</v>
      </c>
      <c r="AK47" s="88">
        <f>220*VLOOKUP(50424,StageData!A2:H24,7,FALSE)*VLOOKUP(50424,StageData!A2:H24,8,FALSE)</f>
        <v>268.98299999999995</v>
      </c>
      <c r="AL47" s="88">
        <f>((P47*O47)+(N47*M47))*L47*(K47+AK47)</f>
        <v>3227.7959999999994</v>
      </c>
      <c r="AM47" s="88">
        <f>(K47+AK47)*L47*V47</f>
        <v>118352.51999999997</v>
      </c>
      <c r="AN47" s="88">
        <f>267.7*VLOOKUP(50423,StageData!A2:H24,7,FALSE)*VLOOKUP(50423,StageData!A2:H24,8,FALSE)</f>
        <v>327.30340499999994</v>
      </c>
      <c r="AO47" s="149" t="s">
        <v>401</v>
      </c>
      <c r="AP47" s="149" t="s">
        <v>401</v>
      </c>
      <c r="AQ47" s="88">
        <f>260*VLOOKUP(50423,StageData!A2:H24,7,FALSE)*VLOOKUP(50423,StageData!A2:H24,8,FALSE)</f>
        <v>317.88899999999995</v>
      </c>
      <c r="AR47" s="88">
        <f>((P47*O47)+(N47*M47))*L47*(K47+AQ47)</f>
        <v>3814.6679999999997</v>
      </c>
      <c r="AS47" s="88">
        <f>(K47+AQ47)*L47*V47</f>
        <v>139871.15999999997</v>
      </c>
      <c r="AT47" s="88">
        <f>283.8*VLOOKUP(50425,StageData!A2:H24,7,FALSE)*VLOOKUP(50425,StageData!A2:H24,8,FALSE)</f>
        <v>346.98806999999994</v>
      </c>
      <c r="AU47" s="158" t="s">
        <v>401</v>
      </c>
      <c r="AV47" s="76">
        <f>115*VLOOKUP(50425,StageData!A2:H24,7,FALSE)*VLOOKUP(50425,StageData!A2:H24,8,FALSE)</f>
        <v>140.60475</v>
      </c>
      <c r="AW47" s="61">
        <f>((P47*O47)+(N47*M47))*L47*(K47+AV47)</f>
        <v>1687.2570000000001</v>
      </c>
      <c r="AX47" s="83">
        <f>(K47+AV47)*L47*V47</f>
        <v>61866.09</v>
      </c>
      <c r="AY47" s="62"/>
    </row>
    <row r="48" spans="1:51" s="54" customFormat="1" ht="58.5" customHeight="1" thickBot="1" x14ac:dyDescent="0.4">
      <c r="A48" s="99" t="s">
        <v>347</v>
      </c>
      <c r="B48" s="184" t="s">
        <v>401</v>
      </c>
      <c r="C48" s="184" t="s">
        <v>401</v>
      </c>
      <c r="D48" s="184" t="s">
        <v>401</v>
      </c>
      <c r="E48" s="184" t="s">
        <v>401</v>
      </c>
      <c r="F48" s="184" t="s">
        <v>401</v>
      </c>
      <c r="G48" s="184" t="s">
        <v>401</v>
      </c>
      <c r="H48" s="184" t="s">
        <v>401</v>
      </c>
      <c r="I48" s="184" t="s">
        <v>401</v>
      </c>
      <c r="J48" s="184" t="s">
        <v>401</v>
      </c>
      <c r="K48" s="184" t="s">
        <v>401</v>
      </c>
      <c r="L48" s="184" t="s">
        <v>401</v>
      </c>
      <c r="M48" s="184" t="s">
        <v>401</v>
      </c>
      <c r="N48" s="184" t="s">
        <v>401</v>
      </c>
      <c r="O48" s="184" t="s">
        <v>401</v>
      </c>
      <c r="P48" s="184" t="s">
        <v>401</v>
      </c>
      <c r="Q48" s="184" t="s">
        <v>401</v>
      </c>
      <c r="R48" s="184" t="s">
        <v>401</v>
      </c>
      <c r="S48" s="184" t="s">
        <v>401</v>
      </c>
      <c r="T48" s="184" t="s">
        <v>401</v>
      </c>
      <c r="U48" s="184" t="s">
        <v>401</v>
      </c>
      <c r="V48" s="185" t="s">
        <v>401</v>
      </c>
      <c r="W48" s="51" t="s">
        <v>234</v>
      </c>
      <c r="X48" s="149" t="s">
        <v>401</v>
      </c>
      <c r="Y48" s="189" t="s">
        <v>401</v>
      </c>
      <c r="Z48" s="190" t="s">
        <v>401</v>
      </c>
      <c r="AA48" s="149" t="s">
        <v>401</v>
      </c>
      <c r="AB48" s="88" t="s">
        <v>234</v>
      </c>
      <c r="AC48" s="88" t="s">
        <v>234</v>
      </c>
      <c r="AD48" s="88" t="s">
        <v>234</v>
      </c>
      <c r="AE48" s="88" t="s">
        <v>234</v>
      </c>
      <c r="AF48" s="88" t="s">
        <v>234</v>
      </c>
      <c r="AG48" s="88" t="s">
        <v>234</v>
      </c>
      <c r="AH48" s="88" t="s">
        <v>234</v>
      </c>
      <c r="AI48" s="88" t="s">
        <v>234</v>
      </c>
      <c r="AJ48" s="149" t="s">
        <v>401</v>
      </c>
      <c r="AK48" s="88" t="s">
        <v>234</v>
      </c>
      <c r="AL48" s="88" t="s">
        <v>234</v>
      </c>
      <c r="AM48" s="88" t="s">
        <v>234</v>
      </c>
      <c r="AN48" s="88">
        <f>177365*VLOOKUP(50423,StageData!A2:H24,7,FALSE)*VLOOKUP(50423,StageData!A2:H24,8,FALSE)</f>
        <v>216855.31724999996</v>
      </c>
      <c r="AO48" s="149" t="s">
        <v>401</v>
      </c>
      <c r="AP48" s="149" t="s">
        <v>401</v>
      </c>
      <c r="AQ48" s="149" t="s">
        <v>401</v>
      </c>
      <c r="AR48" s="88">
        <f>SUMIFS(AR49:AR50,R49:R50,"כן")</f>
        <v>5061.7709999999988</v>
      </c>
      <c r="AS48" s="88">
        <f>SUMIFS(AS49:AS50,R49:R50,"כן")</f>
        <v>210907.12499999997</v>
      </c>
      <c r="AT48" s="88">
        <f>187345*VLOOKUP(50425,StageData!A2:H24,7,FALSE)*VLOOKUP(50425,StageData!A2:H24,8,FALSE)</f>
        <v>229057.36424999998</v>
      </c>
      <c r="AU48" s="158" t="s">
        <v>401</v>
      </c>
      <c r="AV48" s="147" t="s">
        <v>401</v>
      </c>
      <c r="AW48" s="52">
        <f>SUMIFS(AW49:AW50,R49:R50,"כן")</f>
        <v>4694.9759999999997</v>
      </c>
      <c r="AX48" s="82">
        <f>SUMIFS(AX49:AX50,R49:R50,"כן")</f>
        <v>195623.99999999997</v>
      </c>
      <c r="AY48" s="53" t="s">
        <v>12</v>
      </c>
    </row>
    <row r="49" spans="1:51" ht="108" customHeight="1" thickBot="1" x14ac:dyDescent="0.4">
      <c r="A49" s="155" t="s">
        <v>348</v>
      </c>
      <c r="B49" s="55" t="s">
        <v>349</v>
      </c>
      <c r="C49" s="55" t="str">
        <f>VLOOKUP(1,LT!A1:E14,2,FALSE)</f>
        <v>חינוך מיוחד</v>
      </c>
      <c r="D49" s="56" t="s">
        <v>350</v>
      </c>
      <c r="E49" s="55" t="s">
        <v>247</v>
      </c>
      <c r="F49" s="56" t="s">
        <v>351</v>
      </c>
      <c r="G49" s="55">
        <v>25</v>
      </c>
      <c r="H49" s="55">
        <v>60</v>
      </c>
      <c r="I49" s="55">
        <v>4</v>
      </c>
      <c r="J49" s="55">
        <v>0</v>
      </c>
      <c r="K49" s="57">
        <f>0*(VLOOKUP("###VatValue###",AuctionDetails!A1:C28,2,FALSE)+1)*(VLOOKUP("###Commission###",AuctionDetails!A1:C28,2,FALSE)+1)</f>
        <v>0</v>
      </c>
      <c r="L49" s="55">
        <v>1</v>
      </c>
      <c r="M49" s="55">
        <v>1</v>
      </c>
      <c r="N49" s="55">
        <v>6</v>
      </c>
      <c r="O49" s="55">
        <v>1</v>
      </c>
      <c r="P49" s="55">
        <v>6</v>
      </c>
      <c r="Q49" s="55">
        <v>0</v>
      </c>
      <c r="R49" s="55" t="s">
        <v>8</v>
      </c>
      <c r="S49" s="148" t="s">
        <v>401</v>
      </c>
      <c r="T49" s="57">
        <f>0*(VLOOKUP("###VatValue###",AuctionDetails!A1:C28,2,FALSE)+1)*(VLOOKUP("###Commission###",AuctionDetails!A1:C28,2,FALSE)+1)</f>
        <v>0</v>
      </c>
      <c r="U49" s="148" t="s">
        <v>401</v>
      </c>
      <c r="V49" s="58">
        <v>500</v>
      </c>
      <c r="W49" s="60" t="s">
        <v>234</v>
      </c>
      <c r="X49" s="88" t="s">
        <v>394</v>
      </c>
      <c r="Y49" s="93">
        <f>AV49/1.17</f>
        <v>137.94</v>
      </c>
      <c r="Z49" s="96" t="s">
        <v>396</v>
      </c>
      <c r="AA49" s="149" t="s">
        <v>401</v>
      </c>
      <c r="AB49" s="88" t="s">
        <v>234</v>
      </c>
      <c r="AC49" s="88" t="s">
        <v>234</v>
      </c>
      <c r="AD49" s="88" t="s">
        <v>234</v>
      </c>
      <c r="AE49" s="88" t="s">
        <v>234</v>
      </c>
      <c r="AF49" s="88" t="s">
        <v>234</v>
      </c>
      <c r="AG49" s="88" t="s">
        <v>234</v>
      </c>
      <c r="AH49" s="88" t="s">
        <v>234</v>
      </c>
      <c r="AI49" s="88" t="s">
        <v>234</v>
      </c>
      <c r="AJ49" s="149" t="s">
        <v>401</v>
      </c>
      <c r="AK49" s="88" t="s">
        <v>234</v>
      </c>
      <c r="AL49" s="88" t="s">
        <v>234</v>
      </c>
      <c r="AM49" s="88" t="s">
        <v>234</v>
      </c>
      <c r="AN49" s="88">
        <f>144.3*VLOOKUP(50423,StageData!A2:H24,7,FALSE)*VLOOKUP(50423,StageData!A2:H24,8,FALSE)</f>
        <v>176.42839499999999</v>
      </c>
      <c r="AO49" s="149" t="s">
        <v>401</v>
      </c>
      <c r="AP49" s="149" t="s">
        <v>401</v>
      </c>
      <c r="AQ49" s="88">
        <f>140*VLOOKUP(50423,StageData!A2:H24,7,FALSE)*VLOOKUP(50423,StageData!A2:H24,8,FALSE)</f>
        <v>171.17099999999996</v>
      </c>
      <c r="AR49" s="88">
        <f>((P49*O49)+(N49*M49))*L49*(K49+AQ49)</f>
        <v>2054.0519999999997</v>
      </c>
      <c r="AS49" s="88">
        <f>(K49+AQ49)*L49*V49</f>
        <v>85585.499999999985</v>
      </c>
      <c r="AT49" s="88">
        <f>152.6*VLOOKUP(50425,StageData!A2:H24,7,FALSE)*VLOOKUP(50425,StageData!A2:H24,8,FALSE)</f>
        <v>186.57638999999998</v>
      </c>
      <c r="AU49" s="158" t="s">
        <v>401</v>
      </c>
      <c r="AV49" s="76">
        <f>132*VLOOKUP(50425,StageData!A2:H24,7,FALSE)*VLOOKUP(50425,StageData!A2:H24,8,FALSE)</f>
        <v>161.38979999999998</v>
      </c>
      <c r="AW49" s="61">
        <f>((P49*O49)+(N49*M49))*L49*(K49+AV49)</f>
        <v>1936.6775999999998</v>
      </c>
      <c r="AX49" s="83">
        <f>(K49+AV49)*L49*V49</f>
        <v>80694.899999999994</v>
      </c>
      <c r="AY49" s="62"/>
    </row>
    <row r="50" spans="1:51" ht="108" customHeight="1" thickBot="1" x14ac:dyDescent="0.4">
      <c r="A50" s="170" t="s">
        <v>352</v>
      </c>
      <c r="B50" s="171" t="s">
        <v>353</v>
      </c>
      <c r="C50" s="171" t="str">
        <f>VLOOKUP(1,LT!A1:E14,2,FALSE)</f>
        <v>חינוך מיוחד</v>
      </c>
      <c r="D50" s="172" t="s">
        <v>350</v>
      </c>
      <c r="E50" s="171" t="s">
        <v>238</v>
      </c>
      <c r="F50" s="172" t="s">
        <v>351</v>
      </c>
      <c r="G50" s="171">
        <v>25</v>
      </c>
      <c r="H50" s="171">
        <v>60</v>
      </c>
      <c r="I50" s="171">
        <v>7</v>
      </c>
      <c r="J50" s="171">
        <v>0</v>
      </c>
      <c r="K50" s="173">
        <f>0*(VLOOKUP("###VatValue###",AuctionDetails!A1:C28,2,FALSE)+1)*(VLOOKUP("###Commission###",AuctionDetails!A1:C28,2,FALSE)+1)</f>
        <v>0</v>
      </c>
      <c r="L50" s="171">
        <v>1</v>
      </c>
      <c r="M50" s="171">
        <v>1</v>
      </c>
      <c r="N50" s="171">
        <v>6</v>
      </c>
      <c r="O50" s="171">
        <v>1</v>
      </c>
      <c r="P50" s="171">
        <v>6</v>
      </c>
      <c r="Q50" s="171">
        <v>0</v>
      </c>
      <c r="R50" s="171" t="s">
        <v>8</v>
      </c>
      <c r="S50" s="174" t="s">
        <v>401</v>
      </c>
      <c r="T50" s="173">
        <f>0*(VLOOKUP("###VatValue###",AuctionDetails!A1:C28,2,FALSE)+1)*(VLOOKUP("###Commission###",AuctionDetails!A1:C28,2,FALSE)+1)</f>
        <v>0</v>
      </c>
      <c r="U50" s="174" t="s">
        <v>401</v>
      </c>
      <c r="V50" s="175">
        <v>500</v>
      </c>
      <c r="W50" s="176" t="s">
        <v>234</v>
      </c>
      <c r="X50" s="177" t="s">
        <v>394</v>
      </c>
      <c r="Y50" s="178">
        <f>AV50/1.17</f>
        <v>196.45999999999998</v>
      </c>
      <c r="Z50" s="179" t="s">
        <v>396</v>
      </c>
      <c r="AA50" s="180" t="s">
        <v>401</v>
      </c>
      <c r="AB50" s="177" t="s">
        <v>234</v>
      </c>
      <c r="AC50" s="177" t="s">
        <v>234</v>
      </c>
      <c r="AD50" s="177" t="s">
        <v>234</v>
      </c>
      <c r="AE50" s="177" t="s">
        <v>234</v>
      </c>
      <c r="AF50" s="177" t="s">
        <v>234</v>
      </c>
      <c r="AG50" s="177" t="s">
        <v>234</v>
      </c>
      <c r="AH50" s="177" t="s">
        <v>234</v>
      </c>
      <c r="AI50" s="177" t="s">
        <v>234</v>
      </c>
      <c r="AJ50" s="180" t="s">
        <v>401</v>
      </c>
      <c r="AK50" s="177" t="s">
        <v>234</v>
      </c>
      <c r="AL50" s="177" t="s">
        <v>234</v>
      </c>
      <c r="AM50" s="177" t="s">
        <v>234</v>
      </c>
      <c r="AN50" s="177">
        <f>210.4*VLOOKUP(50423,StageData!A2:H24,7,FALSE)*VLOOKUP(50423,StageData!A2:H24,8,FALSE)</f>
        <v>257.24555999999995</v>
      </c>
      <c r="AO50" s="180" t="s">
        <v>401</v>
      </c>
      <c r="AP50" s="180" t="s">
        <v>401</v>
      </c>
      <c r="AQ50" s="177">
        <f>205*VLOOKUP(50423,StageData!A2:H24,7,FALSE)*VLOOKUP(50423,StageData!A2:H24,8,FALSE)</f>
        <v>250.64324999999997</v>
      </c>
      <c r="AR50" s="177">
        <f>((P50*O50)+(N50*M50))*L50*(K50+AQ50)</f>
        <v>3007.7189999999996</v>
      </c>
      <c r="AS50" s="177">
        <f>(K50+AQ50)*L50*V50</f>
        <v>125321.62499999999</v>
      </c>
      <c r="AT50" s="177">
        <f>222.1*VLOOKUP(50425,StageData!A2:H24,7,FALSE)*VLOOKUP(50425,StageData!A2:H24,8,FALSE)</f>
        <v>271.55056499999995</v>
      </c>
      <c r="AU50" s="181" t="s">
        <v>401</v>
      </c>
      <c r="AV50" s="76">
        <f>188*VLOOKUP(50425,StageData!A2:H24,7,FALSE)*VLOOKUP(50425,StageData!A2:H24,8,FALSE)</f>
        <v>229.85819999999995</v>
      </c>
      <c r="AW50" s="61">
        <f>((P50*O50)+(N50*M50))*L50*(K50+AV50)</f>
        <v>2758.2983999999997</v>
      </c>
      <c r="AX50" s="83">
        <f>(K50+AV50)*L50*V50</f>
        <v>114929.09999999998</v>
      </c>
      <c r="AY50" s="62"/>
    </row>
    <row r="51" spans="1:51" ht="15.75" hidden="1" customHeight="1" thickBot="1" x14ac:dyDescent="0.4">
      <c r="V51" s="50" t="s">
        <v>379</v>
      </c>
      <c r="W51" s="110">
        <f>161115*VLOOKUP(50426,StageData!A2:H24,7,FALSE)*VLOOKUP(50426,StageData!A2:H24,8,FALSE)</f>
        <v>196987.25474999996</v>
      </c>
      <c r="X51" s="110"/>
      <c r="Y51" s="110"/>
      <c r="Z51" s="110"/>
      <c r="AA51" s="110"/>
      <c r="AB51" s="110"/>
      <c r="AC51" s="110"/>
      <c r="AD51" s="110"/>
      <c r="AE51" s="110">
        <f>2571810*VLOOKUP(50427,StageData!A2:H24,7,FALSE)*VLOOKUP(50427,StageData!A2:H24,8,FALSE)</f>
        <v>3144423.4964999994</v>
      </c>
      <c r="AF51" s="110"/>
      <c r="AG51" s="110"/>
      <c r="AH51" s="110"/>
      <c r="AI51" s="110">
        <f>3107668*VLOOKUP(50424,StageData!A2:H24,7,FALSE)*VLOOKUP(50424,StageData!A2:H24,8,FALSE)</f>
        <v>3799590.2801999995</v>
      </c>
      <c r="AJ51" s="110"/>
      <c r="AK51" s="110"/>
      <c r="AL51" s="110"/>
      <c r="AM51" s="110"/>
      <c r="AN51" s="110">
        <f>3264827*VLOOKUP(50423,StageData!A2:H24,7,FALSE)*VLOOKUP(50423,StageData!A2:H24,8,FALSE)</f>
        <v>3991740.7315499997</v>
      </c>
      <c r="AO51" s="110"/>
      <c r="AP51" s="110"/>
      <c r="AQ51" s="110"/>
      <c r="AR51" s="110"/>
      <c r="AS51" s="110"/>
      <c r="AT51" s="110">
        <f>3628815*VLOOKUP(50425,StageData!A2:H24,7,FALSE)*VLOOKUP(50425,StageData!A2:H24,8,FALSE)</f>
        <v>4436770.6597499996</v>
      </c>
      <c r="AU51" s="110"/>
      <c r="AV51" s="110"/>
      <c r="AW51" s="110"/>
      <c r="AX51" s="110"/>
      <c r="AY51" s="63"/>
    </row>
    <row r="52" spans="1:51" x14ac:dyDescent="0.35">
      <c r="A52" s="193" t="s">
        <v>402</v>
      </c>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row>
    <row r="53" spans="1:51" ht="14.25" customHeight="1" x14ac:dyDescent="0.35">
      <c r="A53" s="104"/>
      <c r="B53" s="104"/>
      <c r="C53" s="104"/>
      <c r="D53" s="104"/>
      <c r="E53" s="104"/>
      <c r="F53" s="104"/>
      <c r="G53" s="104"/>
      <c r="H53" s="104"/>
      <c r="I53" s="104"/>
      <c r="J53" s="104"/>
      <c r="K53" s="104"/>
      <c r="L53" s="104"/>
      <c r="M53" s="104"/>
      <c r="N53" s="104"/>
      <c r="O53" s="104"/>
      <c r="P53" s="104"/>
      <c r="Q53" s="104"/>
      <c r="R53" s="104"/>
      <c r="S53" s="104"/>
      <c r="T53" s="104"/>
      <c r="U53" s="104"/>
      <c r="V53" s="104"/>
      <c r="W53" s="64"/>
      <c r="X53" s="86"/>
      <c r="Y53" s="94"/>
      <c r="Z53" s="97"/>
      <c r="AA53" s="86"/>
      <c r="AB53" s="78"/>
      <c r="AC53" s="64"/>
      <c r="AD53" s="78"/>
      <c r="AE53" s="64"/>
      <c r="AF53" s="78"/>
      <c r="AG53" s="64"/>
      <c r="AH53" s="78"/>
      <c r="AI53" s="64"/>
      <c r="AJ53" s="64"/>
      <c r="AK53" s="78"/>
      <c r="AL53" s="64"/>
      <c r="AM53" s="78"/>
      <c r="AN53" s="64"/>
      <c r="AO53" s="64"/>
      <c r="AP53" s="64"/>
      <c r="AQ53" s="78"/>
      <c r="AR53" s="64"/>
      <c r="AS53" s="78"/>
      <c r="AT53" s="64"/>
      <c r="AU53" s="64"/>
      <c r="AV53" s="78"/>
      <c r="AW53" s="64"/>
      <c r="AX53" s="78"/>
      <c r="AY53" s="65"/>
    </row>
  </sheetData>
  <mergeCells count="9">
    <mergeCell ref="A1:Q1"/>
    <mergeCell ref="W1:AX1"/>
    <mergeCell ref="A52:AU52"/>
    <mergeCell ref="AN51:AS51"/>
    <mergeCell ref="AT51:AX51"/>
    <mergeCell ref="W51:AD51"/>
    <mergeCell ref="AE51:AH51"/>
    <mergeCell ref="A53:V53"/>
    <mergeCell ref="AI51:AM51"/>
  </mergeCells>
  <pageMargins left="0.23622047244094491" right="0.23622047244094491" top="0.55118110236220474" bottom="0.74803149606299213" header="0.31496062992125984" footer="0.31496062992125984"/>
  <pageSetup paperSize="9" scale="29" fitToHeight="0" orientation="landscape" r:id="rId1"/>
  <headerFooter>
    <oddFooter xml:space="preserve">&amp;R&amp;18חתימת גזבר:_____________   חתימת רשות:_____________    חתמית מנכ"ל:_____________    חתימת יועמ"ש:_____________ </oddFooter>
    <firstHeader>&amp;C&amp;G</firstHead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43"/>
  <sheetViews>
    <sheetView rightToLeft="1" view="pageBreakPreview" topLeftCell="B1" zoomScale="55" zoomScaleNormal="85" zoomScaleSheetLayoutView="55" workbookViewId="0">
      <selection activeCell="W13" sqref="W13"/>
    </sheetView>
  </sheetViews>
  <sheetFormatPr defaultColWidth="9" defaultRowHeight="25.5" x14ac:dyDescent="0.35"/>
  <cols>
    <col min="1" max="1" width="15.875" style="41" customWidth="1"/>
    <col min="2" max="2" width="24.375" style="41" customWidth="1"/>
    <col min="3" max="3" width="15" style="41" customWidth="1"/>
    <col min="4" max="4" width="50.25" style="41" customWidth="1"/>
    <col min="5" max="5" width="20" style="66" customWidth="1"/>
    <col min="6" max="6" width="33.375" style="41" customWidth="1"/>
    <col min="7" max="7" width="17" style="41" customWidth="1"/>
    <col min="8" max="8" width="15" style="41" customWidth="1"/>
    <col min="9" max="9" width="23.625" style="41" customWidth="1"/>
    <col min="10" max="10" width="21.875" style="41" customWidth="1"/>
    <col min="11" max="11" width="38.375" style="41" customWidth="1"/>
    <col min="12" max="12" width="17.25" style="41" customWidth="1"/>
    <col min="13" max="13" width="24.375" style="41" customWidth="1"/>
    <col min="14" max="14" width="20" style="41" customWidth="1"/>
    <col min="15" max="15" width="23.375" style="41" customWidth="1"/>
    <col min="16" max="16" width="19.125" style="41" customWidth="1"/>
    <col min="17" max="17" width="12.625" style="41" hidden="1" customWidth="1"/>
    <col min="18" max="21" width="6.625" style="41" hidden="1" customWidth="1"/>
    <col min="22" max="22" width="14.25" style="41" hidden="1" customWidth="1"/>
    <col min="23" max="23" width="13" style="41" hidden="1" customWidth="1"/>
    <col min="24" max="24" width="15.625" style="41" customWidth="1"/>
    <col min="25" max="25" width="33.625" style="41" customWidth="1"/>
    <col min="26" max="26" width="24.125" style="41" customWidth="1"/>
    <col min="27" max="27" width="13" style="41" customWidth="1"/>
    <col min="28" max="28" width="19.5" style="77" hidden="1" customWidth="1"/>
    <col min="29" max="29" width="13" style="41" hidden="1" customWidth="1"/>
    <col min="30" max="30" width="19.5" style="77" hidden="1" customWidth="1"/>
    <col min="31" max="31" width="13" style="41" hidden="1" customWidth="1"/>
    <col min="32" max="32" width="19.5" style="77" hidden="1" customWidth="1"/>
    <col min="33" max="33" width="13" style="41" hidden="1" customWidth="1"/>
    <col min="34" max="34" width="19.5" style="77" hidden="1" customWidth="1"/>
    <col min="35" max="36" width="13" style="41" hidden="1" customWidth="1"/>
    <col min="37" max="37" width="19.5" style="77" hidden="1" customWidth="1"/>
    <col min="38" max="38" width="13" style="41" hidden="1" customWidth="1"/>
    <col min="39" max="39" width="19.5" style="77" hidden="1" customWidth="1"/>
    <col min="40" max="42" width="13" style="41" hidden="1" customWidth="1"/>
    <col min="43" max="43" width="19.5" style="77" hidden="1" customWidth="1"/>
    <col min="44" max="44" width="13" style="41" hidden="1" customWidth="1"/>
    <col min="45" max="45" width="19.5" style="77" hidden="1" customWidth="1"/>
    <col min="46" max="47" width="13" style="41" hidden="1" customWidth="1"/>
    <col min="48" max="48" width="19.5" style="77" hidden="1" customWidth="1"/>
    <col min="49" max="49" width="13" style="41" hidden="1" customWidth="1"/>
    <col min="50" max="50" width="19.5" style="77" hidden="1" customWidth="1"/>
    <col min="51" max="51" width="25" style="46" hidden="1" customWidth="1"/>
    <col min="52" max="52" width="13.625" style="41" customWidth="1"/>
    <col min="53" max="16384" width="9" style="41"/>
  </cols>
  <sheetData>
    <row r="1" spans="1:51" ht="73.5" customHeight="1" thickTop="1" thickBot="1" x14ac:dyDescent="0.4">
      <c r="A1" s="153" t="str">
        <f>CONCATENATE(AuctionDetails!J8,"     ",AuctionDetails!J7,"       ",AuctionDetails!J6)</f>
        <v>רשות:  עמק הירדן - מועצה אזורית     אזור:  הס/03/2021 - כנרת       מס' נוהל:  A-408108-21-22865</v>
      </c>
      <c r="B1" s="153"/>
      <c r="C1" s="153"/>
      <c r="D1" s="153"/>
      <c r="E1" s="153"/>
      <c r="F1" s="153"/>
      <c r="G1" s="153"/>
      <c r="H1" s="153"/>
      <c r="I1" s="153"/>
      <c r="J1" s="153"/>
      <c r="K1" s="153"/>
      <c r="L1" s="153"/>
      <c r="M1" s="153"/>
      <c r="N1" s="153"/>
      <c r="O1" s="153"/>
      <c r="P1" s="153"/>
      <c r="Q1" s="144" t="s">
        <v>401</v>
      </c>
      <c r="R1" s="144" t="s">
        <v>401</v>
      </c>
      <c r="S1" s="144" t="s">
        <v>401</v>
      </c>
      <c r="T1" s="144" t="s">
        <v>401</v>
      </c>
      <c r="U1" s="144" t="s">
        <v>401</v>
      </c>
      <c r="V1" s="144" t="s">
        <v>401</v>
      </c>
      <c r="W1" s="187" t="s">
        <v>419</v>
      </c>
      <c r="X1" s="187"/>
      <c r="Y1" s="187"/>
      <c r="Z1" s="187"/>
      <c r="AA1" s="187"/>
      <c r="AB1" s="187"/>
      <c r="AC1" s="187"/>
      <c r="AD1" s="187"/>
      <c r="AE1" s="204" t="s">
        <v>203</v>
      </c>
      <c r="AF1" s="107"/>
      <c r="AG1" s="108"/>
      <c r="AH1" s="109"/>
      <c r="AI1" s="105" t="s">
        <v>204</v>
      </c>
      <c r="AJ1" s="106"/>
      <c r="AK1" s="107"/>
      <c r="AL1" s="108"/>
      <c r="AM1" s="109"/>
      <c r="AN1" s="105" t="s">
        <v>7</v>
      </c>
      <c r="AO1" s="106"/>
      <c r="AP1" s="106"/>
      <c r="AQ1" s="107"/>
      <c r="AR1" s="108"/>
      <c r="AS1" s="109"/>
      <c r="AT1" s="105" t="s">
        <v>12</v>
      </c>
      <c r="AU1" s="106"/>
      <c r="AV1" s="107"/>
      <c r="AW1" s="108"/>
      <c r="AX1" s="109"/>
      <c r="AY1" s="47" t="s">
        <v>205</v>
      </c>
    </row>
    <row r="2" spans="1:51" ht="96" customHeight="1" thickBot="1" x14ac:dyDescent="0.4">
      <c r="A2" s="159" t="s">
        <v>206</v>
      </c>
      <c r="B2" s="160" t="s">
        <v>207</v>
      </c>
      <c r="C2" s="160" t="s">
        <v>208</v>
      </c>
      <c r="D2" s="160" t="s">
        <v>209</v>
      </c>
      <c r="E2" s="160" t="s">
        <v>210</v>
      </c>
      <c r="F2" s="160" t="s">
        <v>211</v>
      </c>
      <c r="G2" s="160" t="s">
        <v>212</v>
      </c>
      <c r="H2" s="160" t="s">
        <v>213</v>
      </c>
      <c r="I2" s="160" t="s">
        <v>214</v>
      </c>
      <c r="J2" s="160" t="s">
        <v>215</v>
      </c>
      <c r="K2" s="160" t="s">
        <v>216</v>
      </c>
      <c r="L2" s="160" t="s">
        <v>217</v>
      </c>
      <c r="M2" s="160" t="s">
        <v>218</v>
      </c>
      <c r="N2" s="160" t="s">
        <v>219</v>
      </c>
      <c r="O2" s="160" t="s">
        <v>220</v>
      </c>
      <c r="P2" s="160" t="s">
        <v>221</v>
      </c>
      <c r="Q2" s="160" t="s">
        <v>222</v>
      </c>
      <c r="R2" s="160" t="s">
        <v>223</v>
      </c>
      <c r="S2" s="160" t="s">
        <v>224</v>
      </c>
      <c r="T2" s="160" t="s">
        <v>225</v>
      </c>
      <c r="U2" s="160" t="s">
        <v>226</v>
      </c>
      <c r="V2" s="161" t="s">
        <v>227</v>
      </c>
      <c r="W2" s="162" t="s">
        <v>228</v>
      </c>
      <c r="X2" s="163" t="s">
        <v>399</v>
      </c>
      <c r="Y2" s="163" t="s">
        <v>387</v>
      </c>
      <c r="Z2" s="163" t="s">
        <v>388</v>
      </c>
      <c r="AA2" s="169" t="s">
        <v>398</v>
      </c>
      <c r="AB2" s="166" t="s">
        <v>229</v>
      </c>
      <c r="AC2" s="162" t="s">
        <v>230</v>
      </c>
      <c r="AD2" s="167" t="s">
        <v>231</v>
      </c>
      <c r="AE2" s="48" t="s">
        <v>228</v>
      </c>
      <c r="AF2" s="73" t="s">
        <v>229</v>
      </c>
      <c r="AG2" s="48" t="s">
        <v>230</v>
      </c>
      <c r="AH2" s="79" t="s">
        <v>231</v>
      </c>
      <c r="AI2" s="48" t="s">
        <v>228</v>
      </c>
      <c r="AJ2" s="87"/>
      <c r="AK2" s="73" t="s">
        <v>229</v>
      </c>
      <c r="AL2" s="48" t="s">
        <v>230</v>
      </c>
      <c r="AM2" s="79" t="s">
        <v>231</v>
      </c>
      <c r="AN2" s="48" t="s">
        <v>228</v>
      </c>
      <c r="AO2" s="87"/>
      <c r="AP2" s="87"/>
      <c r="AQ2" s="73" t="s">
        <v>229</v>
      </c>
      <c r="AR2" s="48" t="s">
        <v>230</v>
      </c>
      <c r="AS2" s="79" t="s">
        <v>231</v>
      </c>
      <c r="AT2" s="48" t="s">
        <v>228</v>
      </c>
      <c r="AU2" s="87"/>
      <c r="AV2" s="73" t="s">
        <v>229</v>
      </c>
      <c r="AW2" s="48" t="s">
        <v>230</v>
      </c>
      <c r="AX2" s="79" t="s">
        <v>231</v>
      </c>
      <c r="AY2" s="49"/>
    </row>
    <row r="3" spans="1:51" ht="108" customHeight="1" thickBot="1" x14ac:dyDescent="0.4">
      <c r="A3" s="196" t="s">
        <v>354</v>
      </c>
      <c r="B3" s="67" t="s">
        <v>355</v>
      </c>
      <c r="C3" s="67" t="str">
        <f>VLOOKUP(1,LT!A1:E14,2,FALSE)</f>
        <v>חינוך מיוחד</v>
      </c>
      <c r="D3" s="68" t="s">
        <v>356</v>
      </c>
      <c r="E3" s="67" t="s">
        <v>357</v>
      </c>
      <c r="F3" s="68" t="s">
        <v>358</v>
      </c>
      <c r="G3" s="67">
        <v>20</v>
      </c>
      <c r="H3" s="67">
        <v>60</v>
      </c>
      <c r="I3" s="67">
        <v>5</v>
      </c>
      <c r="J3" s="67">
        <v>60</v>
      </c>
      <c r="K3" s="69">
        <f>92.6*(VLOOKUP("###VatValue###",AuctionDetails!A1:C28,2,FALSE)+1)*(VLOOKUP("###Commission###",AuctionDetails!A1:C28,2,FALSE)+1)</f>
        <v>113.21738999999998</v>
      </c>
      <c r="L3" s="70">
        <v>1</v>
      </c>
      <c r="M3" s="70">
        <v>1</v>
      </c>
      <c r="N3" s="70">
        <v>5</v>
      </c>
      <c r="O3" s="70">
        <v>1</v>
      </c>
      <c r="P3" s="70">
        <v>5</v>
      </c>
      <c r="Q3" s="70">
        <v>0</v>
      </c>
      <c r="R3" s="70" t="s">
        <v>8</v>
      </c>
      <c r="S3" s="195" t="s">
        <v>401</v>
      </c>
      <c r="T3" s="70">
        <f>0*(VLOOKUP("###VatValue###",AuctionDetails!A1:C28,2,FALSE)+1)*(VLOOKUP("###Commission###",AuctionDetails!A1:C28,2,FALSE)+1)</f>
        <v>0</v>
      </c>
      <c r="U3" s="195" t="s">
        <v>401</v>
      </c>
      <c r="V3" s="70">
        <v>417</v>
      </c>
      <c r="W3" s="59" t="s">
        <v>234</v>
      </c>
      <c r="X3" s="88" t="s">
        <v>7</v>
      </c>
      <c r="Y3" s="88">
        <f>AQ3/1.17</f>
        <v>153.61499999999998</v>
      </c>
      <c r="Z3" s="88">
        <v>165</v>
      </c>
      <c r="AA3" s="157">
        <f>Y3-Z3</f>
        <v>-11.385000000000019</v>
      </c>
      <c r="AB3" s="75" t="s">
        <v>234</v>
      </c>
      <c r="AC3" s="59" t="s">
        <v>234</v>
      </c>
      <c r="AD3" s="81" t="s">
        <v>234</v>
      </c>
      <c r="AE3" s="59" t="s">
        <v>234</v>
      </c>
      <c r="AF3" s="75" t="s">
        <v>234</v>
      </c>
      <c r="AG3" s="59" t="s">
        <v>234</v>
      </c>
      <c r="AH3" s="81" t="s">
        <v>234</v>
      </c>
      <c r="AI3" s="59" t="s">
        <v>234</v>
      </c>
      <c r="AJ3" s="88"/>
      <c r="AK3" s="75" t="s">
        <v>234</v>
      </c>
      <c r="AL3" s="59" t="s">
        <v>234</v>
      </c>
      <c r="AM3" s="81" t="s">
        <v>234</v>
      </c>
      <c r="AN3" s="59">
        <f>160.6*VLOOKUP(50423,StageData!A2:H24,7,FALSE)*VLOOKUP(50423,StageData!A2:H24,8,FALSE)</f>
        <v>196.35758999999996</v>
      </c>
      <c r="AO3" s="91"/>
      <c r="AP3" s="90">
        <v>67.274999999999991</v>
      </c>
      <c r="AQ3" s="76">
        <f>147*VLOOKUP(50423,StageData!A2:H24,7,FALSE)*VLOOKUP(50423,StageData!A2:H24,8,FALSE)</f>
        <v>179.72954999999996</v>
      </c>
      <c r="AR3" s="59">
        <f t="shared" ref="AR3:AR8" si="0">((P3*O3)+(N3*M3))*L3*(K3+AQ3)</f>
        <v>2929.469399999999</v>
      </c>
      <c r="AS3" s="85">
        <f t="shared" ref="AS3:AS8" si="1">(K3+AQ3)*L3*V3</f>
        <v>122158.87397999997</v>
      </c>
      <c r="AT3" s="59">
        <f>170.6*VLOOKUP(50425,StageData!A2:H24,7,FALSE)*VLOOKUP(50425,StageData!A2:H24,8,FALSE)</f>
        <v>208.58408999999997</v>
      </c>
      <c r="AU3" s="88"/>
      <c r="AV3" s="75">
        <f>150*VLOOKUP(50425,StageData!A2:H24,7,FALSE)*VLOOKUP(50425,StageData!A2:H24,8,FALSE)</f>
        <v>183.39749999999998</v>
      </c>
      <c r="AW3" s="59">
        <f t="shared" ref="AW3:AW8" si="2">((P3*O3)+(N3*M3))*L3*(K3+AV3)</f>
        <v>2966.1488999999992</v>
      </c>
      <c r="AX3" s="81">
        <f t="shared" ref="AX3:AX8" si="3">(K3+AV3)*L3*V3</f>
        <v>123688.40912999997</v>
      </c>
      <c r="AY3" s="55" t="s">
        <v>7</v>
      </c>
    </row>
    <row r="4" spans="1:51" ht="108" customHeight="1" thickBot="1" x14ac:dyDescent="0.4">
      <c r="A4" s="196" t="s">
        <v>359</v>
      </c>
      <c r="B4" s="67" t="s">
        <v>360</v>
      </c>
      <c r="C4" s="67" t="str">
        <f>VLOOKUP(1,LT!A1:E14,2,FALSE)</f>
        <v>חינוך מיוחד</v>
      </c>
      <c r="D4" s="68" t="s">
        <v>361</v>
      </c>
      <c r="E4" s="67" t="s">
        <v>242</v>
      </c>
      <c r="F4" s="68" t="s">
        <v>362</v>
      </c>
      <c r="G4" s="67">
        <v>40</v>
      </c>
      <c r="H4" s="67">
        <v>60</v>
      </c>
      <c r="I4" s="67">
        <v>12</v>
      </c>
      <c r="J4" s="67">
        <v>0</v>
      </c>
      <c r="K4" s="69">
        <f>0*(VLOOKUP("###VatValue###",AuctionDetails!A1:C28,2,FALSE)+1)*(VLOOKUP("###Commission###",AuctionDetails!A1:C28,2,FALSE)+1)</f>
        <v>0</v>
      </c>
      <c r="L4" s="70">
        <v>1</v>
      </c>
      <c r="M4" s="70">
        <v>1</v>
      </c>
      <c r="N4" s="70">
        <v>5</v>
      </c>
      <c r="O4" s="70">
        <v>1</v>
      </c>
      <c r="P4" s="70">
        <v>5</v>
      </c>
      <c r="Q4" s="70">
        <v>0</v>
      </c>
      <c r="R4" s="70" t="s">
        <v>8</v>
      </c>
      <c r="S4" s="195" t="s">
        <v>401</v>
      </c>
      <c r="T4" s="70">
        <f>0*(VLOOKUP("###VatValue###",AuctionDetails!A1:C28,2,FALSE)+1)*(VLOOKUP("###Commission###",AuctionDetails!A1:C28,2,FALSE)+1)</f>
        <v>0</v>
      </c>
      <c r="U4" s="195" t="s">
        <v>401</v>
      </c>
      <c r="V4" s="70">
        <v>417</v>
      </c>
      <c r="W4" s="59" t="s">
        <v>234</v>
      </c>
      <c r="X4" s="88" t="s">
        <v>7</v>
      </c>
      <c r="Y4" s="88">
        <f t="shared" ref="Y4:Y7" si="4">AQ4/1.17</f>
        <v>247.66499999999999</v>
      </c>
      <c r="Z4" s="88">
        <v>244.5</v>
      </c>
      <c r="AA4" s="157">
        <f>Y4-Z4</f>
        <v>3.164999999999992</v>
      </c>
      <c r="AB4" s="75" t="s">
        <v>234</v>
      </c>
      <c r="AC4" s="59" t="s">
        <v>234</v>
      </c>
      <c r="AD4" s="81" t="s">
        <v>234</v>
      </c>
      <c r="AE4" s="59" t="s">
        <v>234</v>
      </c>
      <c r="AF4" s="75" t="s">
        <v>234</v>
      </c>
      <c r="AG4" s="59" t="s">
        <v>234</v>
      </c>
      <c r="AH4" s="81" t="s">
        <v>234</v>
      </c>
      <c r="AI4" s="59" t="s">
        <v>234</v>
      </c>
      <c r="AJ4" s="88"/>
      <c r="AK4" s="75" t="s">
        <v>234</v>
      </c>
      <c r="AL4" s="59" t="s">
        <v>234</v>
      </c>
      <c r="AM4" s="81" t="s">
        <v>234</v>
      </c>
      <c r="AN4" s="59">
        <f>320.1*VLOOKUP(50423,StageData!A2:H24,7,FALSE)*VLOOKUP(50423,StageData!A2:H24,8,FALSE)</f>
        <v>391.37026499999996</v>
      </c>
      <c r="AO4" s="91" t="s">
        <v>385</v>
      </c>
      <c r="AP4" s="90">
        <v>139.34699999999998</v>
      </c>
      <c r="AQ4" s="76">
        <f>237*VLOOKUP(50423,StageData!A2:H24,7,FALSE)*VLOOKUP(50423,StageData!A2:H24,8,FALSE)</f>
        <v>289.76804999999996</v>
      </c>
      <c r="AR4" s="59">
        <f t="shared" si="0"/>
        <v>2897.6804999999995</v>
      </c>
      <c r="AS4" s="85">
        <f t="shared" si="1"/>
        <v>120833.27684999998</v>
      </c>
      <c r="AT4" s="59">
        <f>335*VLOOKUP(50425,StageData!A2:H24,7,FALSE)*VLOOKUP(50425,StageData!A2:H24,8,FALSE)</f>
        <v>409.58774999999997</v>
      </c>
      <c r="AU4" s="88"/>
      <c r="AV4" s="75">
        <f>308*VLOOKUP(50425,StageData!A2:H24,7,FALSE)*VLOOKUP(50425,StageData!A2:H24,8,FALSE)</f>
        <v>376.57619999999991</v>
      </c>
      <c r="AW4" s="59">
        <f t="shared" si="2"/>
        <v>3765.7619999999993</v>
      </c>
      <c r="AX4" s="81">
        <f t="shared" si="3"/>
        <v>157032.27539999995</v>
      </c>
      <c r="AY4" s="55" t="s">
        <v>7</v>
      </c>
    </row>
    <row r="5" spans="1:51" ht="108" customHeight="1" thickBot="1" x14ac:dyDescent="0.4">
      <c r="A5" s="196" t="s">
        <v>363</v>
      </c>
      <c r="B5" s="67" t="s">
        <v>364</v>
      </c>
      <c r="C5" s="67" t="str">
        <f>VLOOKUP(3,LT!A1:E14,2,FALSE)</f>
        <v>חינוך רגיל</v>
      </c>
      <c r="D5" s="68" t="s">
        <v>365</v>
      </c>
      <c r="E5" s="67" t="s">
        <v>296</v>
      </c>
      <c r="F5" s="68" t="s">
        <v>366</v>
      </c>
      <c r="G5" s="67">
        <v>45</v>
      </c>
      <c r="H5" s="67">
        <v>60</v>
      </c>
      <c r="I5" s="67">
        <v>19</v>
      </c>
      <c r="J5" s="67">
        <v>0</v>
      </c>
      <c r="K5" s="69">
        <f>0*(VLOOKUP("###VatValue###",AuctionDetails!A1:C28,2,FALSE)+1)*(VLOOKUP("###Commission###",AuctionDetails!A1:C28,2,FALSE)+1)</f>
        <v>0</v>
      </c>
      <c r="L5" s="70">
        <v>1</v>
      </c>
      <c r="M5" s="70">
        <v>1</v>
      </c>
      <c r="N5" s="70">
        <v>5</v>
      </c>
      <c r="O5" s="70">
        <v>0</v>
      </c>
      <c r="P5" s="70">
        <v>0</v>
      </c>
      <c r="Q5" s="70">
        <v>0</v>
      </c>
      <c r="R5" s="70" t="s">
        <v>8</v>
      </c>
      <c r="S5" s="195" t="s">
        <v>401</v>
      </c>
      <c r="T5" s="70">
        <f>0*(VLOOKUP("###VatValue###",AuctionDetails!A1:C28,2,FALSE)+1)*(VLOOKUP("###Commission###",AuctionDetails!A1:C28,2,FALSE)+1)</f>
        <v>0</v>
      </c>
      <c r="U5" s="195" t="s">
        <v>401</v>
      </c>
      <c r="V5" s="70">
        <v>183</v>
      </c>
      <c r="W5" s="59" t="s">
        <v>232</v>
      </c>
      <c r="X5" s="88" t="s">
        <v>400</v>
      </c>
      <c r="Y5" s="88">
        <f>AV5/1.17</f>
        <v>311.40999999999997</v>
      </c>
      <c r="Z5" s="88">
        <v>205.9</v>
      </c>
      <c r="AA5" s="157">
        <f>Y5-Z5</f>
        <v>105.50999999999996</v>
      </c>
      <c r="AB5" s="75" t="s">
        <v>232</v>
      </c>
      <c r="AC5" s="59" t="s">
        <v>232</v>
      </c>
      <c r="AD5" s="81" t="s">
        <v>232</v>
      </c>
      <c r="AE5" s="59" t="s">
        <v>234</v>
      </c>
      <c r="AF5" s="75" t="s">
        <v>234</v>
      </c>
      <c r="AG5" s="59" t="s">
        <v>234</v>
      </c>
      <c r="AH5" s="81" t="s">
        <v>234</v>
      </c>
      <c r="AI5" s="59" t="s">
        <v>234</v>
      </c>
      <c r="AJ5" s="88"/>
      <c r="AK5" s="75" t="s">
        <v>234</v>
      </c>
      <c r="AL5" s="59" t="s">
        <v>234</v>
      </c>
      <c r="AM5" s="81" t="s">
        <v>234</v>
      </c>
      <c r="AN5" s="59">
        <f>393.6*VLOOKUP(50423,StageData!A2:H24,7,FALSE)*VLOOKUP(50423,StageData!A2:H24,8,FALSE)</f>
        <v>481.23503999999997</v>
      </c>
      <c r="AO5" s="88"/>
      <c r="AP5" s="92">
        <v>144.261</v>
      </c>
      <c r="AQ5" s="75">
        <f>380*VLOOKUP(50423,StageData!A2:H24,7,FALSE)*VLOOKUP(50423,StageData!A2:H24,8,FALSE)</f>
        <v>464.60699999999991</v>
      </c>
      <c r="AR5" s="59">
        <f t="shared" si="0"/>
        <v>2323.0349999999994</v>
      </c>
      <c r="AS5" s="81">
        <f t="shared" si="1"/>
        <v>85023.080999999991</v>
      </c>
      <c r="AT5" s="59">
        <f>409.6*VLOOKUP(50425,StageData!A2:H24,7,FALSE)*VLOOKUP(50425,StageData!A2:H24,8,FALSE)</f>
        <v>500.79743999999994</v>
      </c>
      <c r="AU5" s="88"/>
      <c r="AV5" s="76">
        <f>298*VLOOKUP(50425,StageData!A2:H24,7,FALSE)*VLOOKUP(50425,StageData!A2:H24,8,FALSE)</f>
        <v>364.34969999999993</v>
      </c>
      <c r="AW5" s="59">
        <f t="shared" si="2"/>
        <v>1821.7484999999997</v>
      </c>
      <c r="AX5" s="85">
        <f t="shared" si="3"/>
        <v>66675.995099999986</v>
      </c>
      <c r="AY5" s="55" t="s">
        <v>12</v>
      </c>
    </row>
    <row r="6" spans="1:51" ht="108" customHeight="1" thickBot="1" x14ac:dyDescent="0.4">
      <c r="A6" s="196" t="s">
        <v>367</v>
      </c>
      <c r="B6" s="67" t="s">
        <v>368</v>
      </c>
      <c r="C6" s="67" t="str">
        <f>VLOOKUP(3,LT!A1:E14,2,FALSE)</f>
        <v>חינוך רגיל</v>
      </c>
      <c r="D6" s="68" t="s">
        <v>369</v>
      </c>
      <c r="E6" s="67" t="s">
        <v>247</v>
      </c>
      <c r="F6" s="68" t="s">
        <v>370</v>
      </c>
      <c r="G6" s="67">
        <v>26</v>
      </c>
      <c r="H6" s="67">
        <v>60</v>
      </c>
      <c r="I6" s="67">
        <v>4</v>
      </c>
      <c r="J6" s="67">
        <v>60</v>
      </c>
      <c r="K6" s="69">
        <f>92.6*(VLOOKUP("###VatValue###",AuctionDetails!A1:C28,2,FALSE)+1)*(VLOOKUP("###Commission###",AuctionDetails!A1:C28,2,FALSE)+1)</f>
        <v>113.21738999999998</v>
      </c>
      <c r="L6" s="70">
        <v>1</v>
      </c>
      <c r="M6" s="70">
        <v>1</v>
      </c>
      <c r="N6" s="70">
        <v>5</v>
      </c>
      <c r="O6" s="70">
        <v>1</v>
      </c>
      <c r="P6" s="70">
        <v>5</v>
      </c>
      <c r="Q6" s="70">
        <v>0</v>
      </c>
      <c r="R6" s="70" t="s">
        <v>8</v>
      </c>
      <c r="S6" s="195" t="s">
        <v>401</v>
      </c>
      <c r="T6" s="70">
        <f>0*(VLOOKUP("###VatValue###",AuctionDetails!A1:C28,2,FALSE)+1)*(VLOOKUP("###Commission###",AuctionDetails!A1:C28,2,FALSE)+1)</f>
        <v>0</v>
      </c>
      <c r="U6" s="195" t="s">
        <v>401</v>
      </c>
      <c r="V6" s="70">
        <v>367</v>
      </c>
      <c r="W6" s="59" t="s">
        <v>234</v>
      </c>
      <c r="X6" s="88" t="s">
        <v>7</v>
      </c>
      <c r="Y6" s="88">
        <f t="shared" si="4"/>
        <v>149.435</v>
      </c>
      <c r="Z6" s="88">
        <v>62.7</v>
      </c>
      <c r="AA6" s="157">
        <f>Y6-Z6</f>
        <v>86.734999999999999</v>
      </c>
      <c r="AB6" s="75" t="s">
        <v>234</v>
      </c>
      <c r="AC6" s="59" t="s">
        <v>234</v>
      </c>
      <c r="AD6" s="81" t="s">
        <v>234</v>
      </c>
      <c r="AE6" s="59" t="s">
        <v>234</v>
      </c>
      <c r="AF6" s="75" t="s">
        <v>234</v>
      </c>
      <c r="AG6" s="59" t="s">
        <v>234</v>
      </c>
      <c r="AH6" s="81" t="s">
        <v>234</v>
      </c>
      <c r="AI6" s="59" t="s">
        <v>234</v>
      </c>
      <c r="AJ6" s="88"/>
      <c r="AK6" s="75" t="s">
        <v>234</v>
      </c>
      <c r="AL6" s="59" t="s">
        <v>234</v>
      </c>
      <c r="AM6" s="81" t="s">
        <v>234</v>
      </c>
      <c r="AN6" s="59">
        <f>146.4*VLOOKUP(50423,StageData!A2:H24,7,FALSE)*VLOOKUP(50423,StageData!A2:H24,8,FALSE)</f>
        <v>178.99596</v>
      </c>
      <c r="AO6" s="88"/>
      <c r="AP6" s="92">
        <v>156.54599999999999</v>
      </c>
      <c r="AQ6" s="76">
        <f>143*VLOOKUP(50423,StageData!A2:H24,7,FALSE)*VLOOKUP(50423,StageData!A2:H24,8,FALSE)</f>
        <v>174.83894999999998</v>
      </c>
      <c r="AR6" s="59">
        <f t="shared" si="0"/>
        <v>2880.5634</v>
      </c>
      <c r="AS6" s="85">
        <f t="shared" si="1"/>
        <v>105716.67677999999</v>
      </c>
      <c r="AT6" s="59">
        <f>154.7*VLOOKUP(50425,StageData!A2:H24,7,FALSE)*VLOOKUP(50425,StageData!A2:H24,8,FALSE)</f>
        <v>189.14395499999998</v>
      </c>
      <c r="AU6" s="88"/>
      <c r="AV6" s="75">
        <f>145*VLOOKUP(50425,StageData!A2:H24,7,FALSE)*VLOOKUP(50425,StageData!A2:H24,8,FALSE)</f>
        <v>177.28424999999996</v>
      </c>
      <c r="AW6" s="59">
        <f t="shared" si="2"/>
        <v>2905.0163999999995</v>
      </c>
      <c r="AX6" s="81">
        <f t="shared" si="3"/>
        <v>106614.10187999999</v>
      </c>
      <c r="AY6" s="55" t="s">
        <v>7</v>
      </c>
    </row>
    <row r="7" spans="1:51" ht="108" customHeight="1" thickBot="1" x14ac:dyDescent="0.4">
      <c r="A7" s="196" t="s">
        <v>371</v>
      </c>
      <c r="B7" s="67" t="s">
        <v>372</v>
      </c>
      <c r="C7" s="67" t="str">
        <f>VLOOKUP(2,LT!A1:E14,2,FALSE)</f>
        <v>רווחה</v>
      </c>
      <c r="D7" s="68" t="s">
        <v>373</v>
      </c>
      <c r="E7" s="67" t="s">
        <v>247</v>
      </c>
      <c r="F7" s="68" t="s">
        <v>374</v>
      </c>
      <c r="G7" s="67">
        <v>50</v>
      </c>
      <c r="H7" s="67">
        <v>70</v>
      </c>
      <c r="I7" s="67">
        <v>4</v>
      </c>
      <c r="J7" s="67">
        <v>0</v>
      </c>
      <c r="K7" s="69">
        <f>0*(VLOOKUP("###VatValue###",AuctionDetails!A1:C28,2,FALSE)+1)*(VLOOKUP("###Commission###",AuctionDetails!A1:C28,2,FALSE)+1)</f>
        <v>0</v>
      </c>
      <c r="L7" s="70">
        <v>1</v>
      </c>
      <c r="M7" s="70">
        <v>1</v>
      </c>
      <c r="N7" s="70">
        <v>6</v>
      </c>
      <c r="O7" s="70">
        <v>1</v>
      </c>
      <c r="P7" s="70">
        <v>6</v>
      </c>
      <c r="Q7" s="70">
        <v>0</v>
      </c>
      <c r="R7" s="70" t="s">
        <v>8</v>
      </c>
      <c r="S7" s="195" t="s">
        <v>401</v>
      </c>
      <c r="T7" s="70">
        <f>0*(VLOOKUP("###VatValue###",AuctionDetails!A1:C28,2,FALSE)+1)*(VLOOKUP("###Commission###",AuctionDetails!A1:C28,2,FALSE)+1)</f>
        <v>0</v>
      </c>
      <c r="U7" s="195" t="s">
        <v>401</v>
      </c>
      <c r="V7" s="70">
        <v>560</v>
      </c>
      <c r="W7" s="59" t="s">
        <v>234</v>
      </c>
      <c r="X7" s="88" t="s">
        <v>7</v>
      </c>
      <c r="Y7" s="88">
        <f t="shared" si="4"/>
        <v>213.17999999999998</v>
      </c>
      <c r="Z7" s="88">
        <v>180.8</v>
      </c>
      <c r="AA7" s="157">
        <f>Y7-Z7</f>
        <v>32.379999999999967</v>
      </c>
      <c r="AB7" s="75" t="s">
        <v>234</v>
      </c>
      <c r="AC7" s="59" t="s">
        <v>234</v>
      </c>
      <c r="AD7" s="81" t="s">
        <v>234</v>
      </c>
      <c r="AE7" s="59" t="s">
        <v>234</v>
      </c>
      <c r="AF7" s="75" t="s">
        <v>234</v>
      </c>
      <c r="AG7" s="59" t="s">
        <v>234</v>
      </c>
      <c r="AH7" s="81" t="s">
        <v>234</v>
      </c>
      <c r="AI7" s="59" t="s">
        <v>234</v>
      </c>
      <c r="AJ7" s="88"/>
      <c r="AK7" s="75" t="s">
        <v>234</v>
      </c>
      <c r="AL7" s="59" t="s">
        <v>234</v>
      </c>
      <c r="AM7" s="81" t="s">
        <v>234</v>
      </c>
      <c r="AN7" s="59">
        <f>212.9*VLOOKUP(50423,StageData!A2:H24,7,FALSE)*VLOOKUP(50423,StageData!A2:H24,8,FALSE)</f>
        <v>260.30218499999995</v>
      </c>
      <c r="AO7" s="88"/>
      <c r="AP7" s="88"/>
      <c r="AQ7" s="76">
        <f>204*VLOOKUP(50423,StageData!A2:H24,7,FALSE)*VLOOKUP(50423,StageData!A2:H24,8,FALSE)</f>
        <v>249.42059999999995</v>
      </c>
      <c r="AR7" s="59">
        <f t="shared" si="0"/>
        <v>2993.0471999999995</v>
      </c>
      <c r="AS7" s="85">
        <f t="shared" si="1"/>
        <v>139675.53599999996</v>
      </c>
      <c r="AT7" s="59">
        <f>222.6*VLOOKUP(50425,StageData!A2:H24,7,FALSE)*VLOOKUP(50425,StageData!A2:H24,8,FALSE)</f>
        <v>272.16188999999997</v>
      </c>
      <c r="AU7" s="88"/>
      <c r="AV7" s="75">
        <f>210*VLOOKUP(50425,StageData!A2:H24,7,FALSE)*VLOOKUP(50425,StageData!A2:H24,8,FALSE)</f>
        <v>256.75649999999996</v>
      </c>
      <c r="AW7" s="59">
        <f t="shared" si="2"/>
        <v>3081.0779999999995</v>
      </c>
      <c r="AX7" s="81">
        <f t="shared" si="3"/>
        <v>143783.63999999998</v>
      </c>
      <c r="AY7" s="55" t="s">
        <v>7</v>
      </c>
    </row>
    <row r="8" spans="1:51" ht="108" customHeight="1" thickBot="1" x14ac:dyDescent="0.4">
      <c r="A8" s="197" t="s">
        <v>375</v>
      </c>
      <c r="B8" s="198" t="s">
        <v>376</v>
      </c>
      <c r="C8" s="198" t="str">
        <f>VLOOKUP(1,LT!A1:E14,2,FALSE)</f>
        <v>חינוך מיוחד</v>
      </c>
      <c r="D8" s="199" t="s">
        <v>377</v>
      </c>
      <c r="E8" s="198" t="s">
        <v>238</v>
      </c>
      <c r="F8" s="199" t="s">
        <v>378</v>
      </c>
      <c r="G8" s="198">
        <v>25</v>
      </c>
      <c r="H8" s="198">
        <v>60</v>
      </c>
      <c r="I8" s="198">
        <v>8</v>
      </c>
      <c r="J8" s="198">
        <v>0</v>
      </c>
      <c r="K8" s="200">
        <f>0*(VLOOKUP("###VatValue###",AuctionDetails!A1:C28,2,FALSE)+1)*(VLOOKUP("###Commission###",AuctionDetails!A1:C28,2,FALSE)+1)</f>
        <v>0</v>
      </c>
      <c r="L8" s="201">
        <v>1</v>
      </c>
      <c r="M8" s="201">
        <v>1</v>
      </c>
      <c r="N8" s="201">
        <v>6</v>
      </c>
      <c r="O8" s="201">
        <v>1</v>
      </c>
      <c r="P8" s="201">
        <v>6</v>
      </c>
      <c r="Q8" s="201">
        <v>0</v>
      </c>
      <c r="R8" s="201" t="s">
        <v>8</v>
      </c>
      <c r="S8" s="202" t="s">
        <v>401</v>
      </c>
      <c r="T8" s="201">
        <f>0*(VLOOKUP("###VatValue###",AuctionDetails!A1:C28,2,FALSE)+1)*(VLOOKUP("###Commission###",AuctionDetails!A1:C28,2,FALSE)+1)</f>
        <v>0</v>
      </c>
      <c r="U8" s="202" t="s">
        <v>401</v>
      </c>
      <c r="V8" s="201">
        <v>500</v>
      </c>
      <c r="W8" s="203" t="s">
        <v>234</v>
      </c>
      <c r="X8" s="177" t="s">
        <v>400</v>
      </c>
      <c r="Y8" s="177">
        <f>AV8/1.17</f>
        <v>182.875</v>
      </c>
      <c r="Z8" s="177" t="s">
        <v>396</v>
      </c>
      <c r="AA8" s="181" t="s">
        <v>401</v>
      </c>
      <c r="AB8" s="75" t="s">
        <v>234</v>
      </c>
      <c r="AC8" s="59" t="s">
        <v>234</v>
      </c>
      <c r="AD8" s="81" t="s">
        <v>234</v>
      </c>
      <c r="AE8" s="59" t="s">
        <v>234</v>
      </c>
      <c r="AF8" s="75" t="s">
        <v>234</v>
      </c>
      <c r="AG8" s="59" t="s">
        <v>234</v>
      </c>
      <c r="AH8" s="81" t="s">
        <v>234</v>
      </c>
      <c r="AI8" s="59" t="s">
        <v>234</v>
      </c>
      <c r="AJ8" s="88"/>
      <c r="AK8" s="75" t="s">
        <v>234</v>
      </c>
      <c r="AL8" s="59" t="s">
        <v>234</v>
      </c>
      <c r="AM8" s="81" t="s">
        <v>234</v>
      </c>
      <c r="AN8" s="59">
        <f>210.4*VLOOKUP(50423,StageData!A2:H24,7,FALSE)*VLOOKUP(50423,StageData!A2:H24,8,FALSE)</f>
        <v>257.24555999999995</v>
      </c>
      <c r="AO8" s="88"/>
      <c r="AP8" s="88"/>
      <c r="AQ8" s="75">
        <f>209*VLOOKUP(50423,StageData!A2:H24,7,FALSE)*VLOOKUP(50423,StageData!A2:H24,8,FALSE)</f>
        <v>255.53384999999994</v>
      </c>
      <c r="AR8" s="59">
        <f t="shared" si="0"/>
        <v>3066.4061999999994</v>
      </c>
      <c r="AS8" s="81">
        <f t="shared" si="1"/>
        <v>127766.92499999997</v>
      </c>
      <c r="AT8" s="59">
        <f>222.1*VLOOKUP(50425,StageData!A2:H24,7,FALSE)*VLOOKUP(50425,StageData!A2:H24,8,FALSE)</f>
        <v>271.55056499999995</v>
      </c>
      <c r="AU8" s="88"/>
      <c r="AV8" s="76">
        <f>175*VLOOKUP(50425,StageData!A2:H24,7,FALSE)*VLOOKUP(50425,StageData!A2:H24,8,FALSE)</f>
        <v>213.96374999999998</v>
      </c>
      <c r="AW8" s="59">
        <f t="shared" si="2"/>
        <v>2567.5649999999996</v>
      </c>
      <c r="AX8" s="85">
        <f t="shared" si="3"/>
        <v>106981.87499999999</v>
      </c>
      <c r="AY8" s="55" t="s">
        <v>12</v>
      </c>
    </row>
    <row r="9" spans="1:51" x14ac:dyDescent="0.35">
      <c r="A9" s="192" t="s">
        <v>402</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84"/>
      <c r="AC9" s="72"/>
      <c r="AD9" s="84"/>
      <c r="AE9" s="72"/>
      <c r="AF9" s="84"/>
      <c r="AG9" s="72"/>
      <c r="AH9" s="84"/>
      <c r="AI9" s="72"/>
      <c r="AJ9" s="72"/>
      <c r="AK9" s="84"/>
      <c r="AL9" s="72"/>
      <c r="AM9" s="84"/>
      <c r="AN9" s="72"/>
      <c r="AO9" s="72"/>
      <c r="AP9" s="72"/>
      <c r="AQ9" s="84"/>
      <c r="AR9" s="72"/>
      <c r="AS9" s="84"/>
      <c r="AT9" s="72"/>
      <c r="AU9" s="72"/>
      <c r="AV9" s="84"/>
      <c r="AW9" s="72"/>
      <c r="AX9" s="84"/>
    </row>
    <row r="10" spans="1:51" x14ac:dyDescent="0.35">
      <c r="V10" s="71"/>
      <c r="W10" s="72"/>
      <c r="X10" s="72"/>
      <c r="Y10" s="72"/>
      <c r="Z10" s="72"/>
      <c r="AA10" s="72"/>
      <c r="AB10" s="84"/>
      <c r="AC10" s="72"/>
      <c r="AD10" s="84"/>
      <c r="AE10" s="72"/>
      <c r="AF10" s="84"/>
      <c r="AG10" s="72"/>
      <c r="AH10" s="84"/>
      <c r="AI10" s="72"/>
      <c r="AJ10" s="72"/>
      <c r="AK10" s="84"/>
      <c r="AL10" s="72"/>
      <c r="AM10" s="84"/>
      <c r="AN10" s="72"/>
      <c r="AO10" s="72"/>
      <c r="AP10" s="72"/>
      <c r="AQ10" s="84"/>
      <c r="AR10" s="72"/>
      <c r="AS10" s="84"/>
      <c r="AT10" s="72"/>
      <c r="AU10" s="72"/>
      <c r="AV10" s="84"/>
      <c r="AW10" s="72"/>
      <c r="AX10" s="84"/>
    </row>
    <row r="11" spans="1:51" x14ac:dyDescent="0.35">
      <c r="V11" s="71"/>
      <c r="W11" s="72"/>
      <c r="X11" s="72"/>
      <c r="Y11" s="72"/>
      <c r="Z11" s="72"/>
      <c r="AA11" s="72"/>
      <c r="AB11" s="84"/>
      <c r="AC11" s="72"/>
      <c r="AD11" s="84"/>
      <c r="AE11" s="72"/>
      <c r="AF11" s="84"/>
      <c r="AG11" s="72"/>
      <c r="AH11" s="84"/>
      <c r="AI11" s="72"/>
      <c r="AJ11" s="72"/>
      <c r="AK11" s="84"/>
      <c r="AL11" s="72"/>
      <c r="AM11" s="84"/>
      <c r="AN11" s="72"/>
      <c r="AO11" s="72"/>
      <c r="AP11" s="72"/>
      <c r="AQ11" s="84"/>
      <c r="AR11" s="72"/>
      <c r="AS11" s="84"/>
      <c r="AT11" s="72"/>
      <c r="AU11" s="72"/>
      <c r="AV11" s="84"/>
      <c r="AW11" s="72"/>
      <c r="AX11" s="84"/>
    </row>
    <row r="12" spans="1:51" ht="96.75" customHeight="1" x14ac:dyDescent="0.35">
      <c r="V12" s="71"/>
      <c r="W12" s="72"/>
      <c r="X12" s="72"/>
      <c r="Y12" s="72"/>
      <c r="Z12" s="72"/>
      <c r="AA12" s="72"/>
      <c r="AB12" s="84"/>
      <c r="AC12" s="72"/>
      <c r="AD12" s="84"/>
      <c r="AE12" s="72"/>
      <c r="AF12" s="84"/>
      <c r="AG12" s="72"/>
      <c r="AH12" s="84"/>
      <c r="AI12" s="72"/>
      <c r="AJ12" s="72"/>
      <c r="AK12" s="84"/>
      <c r="AL12" s="72"/>
      <c r="AM12" s="84"/>
      <c r="AN12" s="72"/>
      <c r="AO12" s="72"/>
      <c r="AP12" s="72"/>
      <c r="AQ12" s="84"/>
      <c r="AR12" s="72"/>
      <c r="AS12" s="84"/>
      <c r="AT12" s="72"/>
      <c r="AU12" s="72"/>
      <c r="AV12" s="84"/>
      <c r="AW12" s="72"/>
      <c r="AX12" s="84"/>
    </row>
    <row r="13" spans="1:51" ht="58.5" customHeight="1" x14ac:dyDescent="0.35">
      <c r="A13" s="104" t="s">
        <v>279</v>
      </c>
      <c r="B13" s="104"/>
      <c r="C13" s="104"/>
      <c r="D13" s="104"/>
      <c r="E13" s="104"/>
      <c r="F13" s="104"/>
      <c r="G13" s="104"/>
      <c r="H13" s="104"/>
      <c r="I13" s="104"/>
      <c r="J13" s="104"/>
      <c r="K13" s="104"/>
      <c r="L13" s="104"/>
      <c r="M13" s="104"/>
      <c r="N13" s="104"/>
      <c r="O13" s="104"/>
      <c r="P13" s="104"/>
      <c r="Q13" s="104"/>
      <c r="R13" s="104"/>
      <c r="S13" s="104"/>
      <c r="T13" s="104"/>
      <c r="U13" s="104"/>
      <c r="V13" s="104"/>
      <c r="W13" s="72"/>
      <c r="X13" s="72"/>
      <c r="Y13" s="72"/>
      <c r="Z13" s="72"/>
      <c r="AA13" s="72"/>
      <c r="AB13" s="84"/>
      <c r="AC13" s="72"/>
      <c r="AD13" s="84"/>
      <c r="AE13" s="72"/>
      <c r="AF13" s="84"/>
      <c r="AG13" s="72"/>
      <c r="AH13" s="84"/>
      <c r="AI13" s="72"/>
      <c r="AJ13" s="72"/>
      <c r="AK13" s="84"/>
      <c r="AL13" s="72"/>
      <c r="AM13" s="84"/>
      <c r="AN13" s="72"/>
      <c r="AO13" s="72"/>
      <c r="AP13" s="72"/>
      <c r="AQ13" s="84"/>
      <c r="AR13" s="72"/>
      <c r="AS13" s="84"/>
      <c r="AT13" s="72"/>
      <c r="AU13" s="72"/>
      <c r="AV13" s="84"/>
      <c r="AW13" s="72"/>
      <c r="AX13" s="84"/>
    </row>
    <row r="14" spans="1:51" ht="96.75" customHeight="1" x14ac:dyDescent="0.35">
      <c r="V14" s="71"/>
      <c r="W14" s="72"/>
      <c r="X14" s="72"/>
      <c r="Y14" s="72"/>
      <c r="Z14" s="72"/>
      <c r="AA14" s="89">
        <v>183.39749999999998</v>
      </c>
      <c r="AB14" s="84"/>
      <c r="AC14" s="72"/>
      <c r="AD14" s="84"/>
      <c r="AE14" s="72"/>
      <c r="AF14" s="84"/>
      <c r="AG14" s="72"/>
      <c r="AH14" s="84"/>
      <c r="AI14" s="72"/>
      <c r="AJ14" s="72"/>
      <c r="AK14" s="84"/>
      <c r="AL14" s="72"/>
      <c r="AM14" s="84"/>
      <c r="AN14" s="72"/>
      <c r="AO14" s="72"/>
      <c r="AP14" s="72"/>
      <c r="AQ14" s="84"/>
      <c r="AR14" s="72"/>
      <c r="AS14" s="84"/>
      <c r="AT14" s="72"/>
      <c r="AU14" s="72"/>
      <c r="AV14" s="84"/>
      <c r="AW14" s="72"/>
      <c r="AX14" s="84"/>
    </row>
    <row r="15" spans="1:51" ht="96.75" customHeight="1" x14ac:dyDescent="0.35">
      <c r="V15" s="71"/>
      <c r="W15" s="72"/>
      <c r="X15" s="72"/>
      <c r="Y15" s="72"/>
      <c r="Z15" s="72"/>
      <c r="AA15" s="89">
        <v>195.62399999999997</v>
      </c>
      <c r="AB15" s="84"/>
      <c r="AC15" s="72"/>
      <c r="AD15" s="84"/>
      <c r="AE15" s="72"/>
      <c r="AF15" s="84"/>
      <c r="AG15" s="72"/>
      <c r="AH15" s="84"/>
      <c r="AI15" s="72"/>
      <c r="AJ15" s="72"/>
      <c r="AK15" s="84"/>
      <c r="AL15" s="72"/>
      <c r="AM15" s="84"/>
      <c r="AN15" s="72"/>
      <c r="AO15" s="72"/>
      <c r="AP15" s="72"/>
      <c r="AQ15" s="84"/>
      <c r="AR15" s="72"/>
      <c r="AS15" s="84"/>
      <c r="AT15" s="72"/>
      <c r="AU15" s="72"/>
      <c r="AV15" s="84"/>
      <c r="AW15" s="72"/>
      <c r="AX15" s="84"/>
    </row>
    <row r="16" spans="1:51" ht="58.5" customHeight="1" x14ac:dyDescent="0.35">
      <c r="A16" s="104" t="s">
        <v>287</v>
      </c>
      <c r="B16" s="104"/>
      <c r="C16" s="104"/>
      <c r="D16" s="104"/>
      <c r="E16" s="104"/>
      <c r="F16" s="104"/>
      <c r="G16" s="104"/>
      <c r="H16" s="104"/>
      <c r="I16" s="104"/>
      <c r="J16" s="104"/>
      <c r="K16" s="104"/>
      <c r="L16" s="104"/>
      <c r="M16" s="104"/>
      <c r="N16" s="104"/>
      <c r="O16" s="104"/>
      <c r="P16" s="104"/>
      <c r="Q16" s="104"/>
      <c r="R16" s="104"/>
      <c r="S16" s="104"/>
      <c r="T16" s="104"/>
      <c r="U16" s="104"/>
      <c r="V16" s="104"/>
      <c r="W16" s="72"/>
      <c r="X16" s="72"/>
      <c r="Y16" s="72"/>
      <c r="Z16" s="72"/>
      <c r="AA16" s="72"/>
      <c r="AB16" s="84"/>
      <c r="AC16" s="72"/>
      <c r="AD16" s="84"/>
      <c r="AE16" s="72"/>
      <c r="AF16" s="84"/>
      <c r="AG16" s="72"/>
      <c r="AH16" s="84"/>
      <c r="AI16" s="72"/>
      <c r="AJ16" s="72"/>
      <c r="AK16" s="84"/>
      <c r="AL16" s="72"/>
      <c r="AM16" s="84"/>
      <c r="AN16" s="72"/>
      <c r="AO16" s="72"/>
      <c r="AP16" s="72"/>
      <c r="AQ16" s="84"/>
      <c r="AR16" s="72"/>
      <c r="AS16" s="84"/>
      <c r="AT16" s="72"/>
      <c r="AU16" s="72"/>
      <c r="AV16" s="84"/>
      <c r="AW16" s="72"/>
      <c r="AX16" s="84"/>
    </row>
    <row r="17" spans="1:50" ht="96.75" customHeight="1" x14ac:dyDescent="0.35">
      <c r="V17" s="71"/>
      <c r="W17" s="72"/>
      <c r="X17" s="72"/>
      <c r="Y17" s="72"/>
      <c r="Z17" s="72"/>
      <c r="AA17" s="72"/>
      <c r="AB17" s="84"/>
      <c r="AC17" s="72"/>
      <c r="AD17" s="84"/>
      <c r="AE17" s="72"/>
      <c r="AF17" s="84"/>
      <c r="AG17" s="72"/>
      <c r="AH17" s="84"/>
      <c r="AI17" s="72"/>
      <c r="AJ17" s="72"/>
      <c r="AK17" s="84"/>
      <c r="AL17" s="72"/>
      <c r="AM17" s="84"/>
      <c r="AN17" s="72"/>
      <c r="AO17" s="72"/>
      <c r="AP17" s="72"/>
      <c r="AQ17" s="84"/>
      <c r="AR17" s="72"/>
      <c r="AS17" s="84"/>
      <c r="AT17" s="72"/>
      <c r="AU17" s="72"/>
      <c r="AV17" s="84"/>
      <c r="AW17" s="72"/>
      <c r="AX17" s="84"/>
    </row>
    <row r="18" spans="1:50" ht="96.75" customHeight="1" x14ac:dyDescent="0.35">
      <c r="V18" s="71"/>
      <c r="W18" s="72"/>
      <c r="X18" s="72"/>
      <c r="Y18" s="72"/>
      <c r="Z18" s="72"/>
      <c r="AA18" s="72"/>
      <c r="AB18" s="84"/>
      <c r="AC18" s="72"/>
      <c r="AD18" s="84"/>
      <c r="AE18" s="72"/>
      <c r="AF18" s="84"/>
      <c r="AG18" s="72"/>
      <c r="AH18" s="84"/>
      <c r="AI18" s="72"/>
      <c r="AJ18" s="72"/>
      <c r="AK18" s="84"/>
      <c r="AL18" s="72"/>
      <c r="AM18" s="84"/>
      <c r="AN18" s="72"/>
      <c r="AO18" s="72"/>
      <c r="AP18" s="72"/>
      <c r="AQ18" s="84"/>
      <c r="AR18" s="72"/>
      <c r="AS18" s="84"/>
      <c r="AT18" s="72"/>
      <c r="AU18" s="72"/>
      <c r="AV18" s="84"/>
      <c r="AW18" s="72"/>
      <c r="AX18" s="84"/>
    </row>
    <row r="19" spans="1:50" ht="96.75" customHeight="1" x14ac:dyDescent="0.35">
      <c r="V19" s="71"/>
      <c r="W19" s="72"/>
      <c r="X19" s="72"/>
      <c r="Y19" s="72"/>
      <c r="Z19" s="72"/>
      <c r="AA19" s="72"/>
      <c r="AB19" s="84"/>
      <c r="AC19" s="72"/>
      <c r="AD19" s="84"/>
      <c r="AE19" s="72"/>
      <c r="AF19" s="84"/>
      <c r="AG19" s="72"/>
      <c r="AH19" s="84"/>
      <c r="AI19" s="72"/>
      <c r="AJ19" s="72"/>
      <c r="AK19" s="84"/>
      <c r="AL19" s="72"/>
      <c r="AM19" s="84"/>
      <c r="AN19" s="72"/>
      <c r="AO19" s="72"/>
      <c r="AP19" s="72"/>
      <c r="AQ19" s="84"/>
      <c r="AR19" s="72"/>
      <c r="AS19" s="84"/>
      <c r="AT19" s="72"/>
      <c r="AU19" s="72"/>
      <c r="AV19" s="84"/>
      <c r="AW19" s="72"/>
      <c r="AX19" s="84"/>
    </row>
    <row r="20" spans="1:50" ht="58.5" customHeight="1" x14ac:dyDescent="0.35">
      <c r="A20" s="104" t="s">
        <v>297</v>
      </c>
      <c r="B20" s="104"/>
      <c r="C20" s="104"/>
      <c r="D20" s="104"/>
      <c r="E20" s="104"/>
      <c r="F20" s="104"/>
      <c r="G20" s="104"/>
      <c r="H20" s="104"/>
      <c r="I20" s="104"/>
      <c r="J20" s="104"/>
      <c r="K20" s="104"/>
      <c r="L20" s="104"/>
      <c r="M20" s="104"/>
      <c r="N20" s="104"/>
      <c r="O20" s="104"/>
      <c r="P20" s="104"/>
      <c r="Q20" s="104"/>
      <c r="R20" s="104"/>
      <c r="S20" s="104"/>
      <c r="T20" s="104"/>
      <c r="U20" s="104"/>
      <c r="V20" s="104"/>
      <c r="W20" s="72"/>
      <c r="X20" s="72"/>
      <c r="Y20" s="72"/>
      <c r="Z20" s="72"/>
      <c r="AA20" s="72"/>
      <c r="AB20" s="84"/>
      <c r="AC20" s="72"/>
      <c r="AD20" s="84"/>
      <c r="AE20" s="72"/>
      <c r="AF20" s="84"/>
      <c r="AG20" s="72"/>
      <c r="AH20" s="84"/>
      <c r="AI20" s="72"/>
      <c r="AJ20" s="72"/>
      <c r="AK20" s="84"/>
      <c r="AL20" s="72"/>
      <c r="AM20" s="84"/>
      <c r="AN20" s="72"/>
      <c r="AO20" s="72"/>
      <c r="AP20" s="72"/>
      <c r="AQ20" s="84"/>
      <c r="AR20" s="72"/>
      <c r="AS20" s="84"/>
      <c r="AT20" s="72"/>
      <c r="AU20" s="72"/>
      <c r="AV20" s="84"/>
      <c r="AW20" s="72"/>
      <c r="AX20" s="84"/>
    </row>
    <row r="21" spans="1:50" ht="110.25" customHeight="1" x14ac:dyDescent="0.35">
      <c r="V21" s="71"/>
      <c r="W21" s="72"/>
      <c r="X21" s="72"/>
      <c r="Y21" s="72"/>
      <c r="Z21" s="72"/>
      <c r="AA21" s="72"/>
      <c r="AB21" s="84"/>
      <c r="AC21" s="72"/>
      <c r="AD21" s="84"/>
      <c r="AE21" s="72"/>
      <c r="AF21" s="84"/>
      <c r="AG21" s="72"/>
      <c r="AH21" s="84"/>
      <c r="AI21" s="72"/>
      <c r="AJ21" s="72"/>
      <c r="AK21" s="84"/>
      <c r="AL21" s="72"/>
      <c r="AM21" s="84"/>
      <c r="AN21" s="72"/>
      <c r="AO21" s="72"/>
      <c r="AP21" s="72"/>
      <c r="AQ21" s="84"/>
      <c r="AR21" s="72"/>
      <c r="AS21" s="84"/>
      <c r="AT21" s="72"/>
      <c r="AU21" s="72"/>
      <c r="AV21" s="84"/>
      <c r="AW21" s="72"/>
      <c r="AX21" s="84"/>
    </row>
    <row r="22" spans="1:50" ht="110.25" customHeight="1" x14ac:dyDescent="0.35">
      <c r="V22" s="71"/>
      <c r="W22" s="72"/>
      <c r="X22" s="72"/>
      <c r="Y22" s="72"/>
      <c r="Z22" s="72"/>
      <c r="AA22" s="72"/>
      <c r="AB22" s="84"/>
      <c r="AC22" s="72"/>
      <c r="AD22" s="84"/>
      <c r="AE22" s="72"/>
      <c r="AF22" s="84"/>
      <c r="AG22" s="72"/>
      <c r="AH22" s="84"/>
      <c r="AI22" s="72"/>
      <c r="AJ22" s="72"/>
      <c r="AK22" s="84"/>
      <c r="AL22" s="72"/>
      <c r="AM22" s="84"/>
      <c r="AN22" s="72"/>
      <c r="AO22" s="72"/>
      <c r="AP22" s="72"/>
      <c r="AQ22" s="84"/>
      <c r="AR22" s="72"/>
      <c r="AS22" s="84"/>
      <c r="AT22" s="72"/>
      <c r="AU22" s="72"/>
      <c r="AV22" s="84"/>
      <c r="AW22" s="72"/>
      <c r="AX22" s="84"/>
    </row>
    <row r="23" spans="1:50" ht="110.25" customHeight="1" x14ac:dyDescent="0.35">
      <c r="V23" s="71"/>
      <c r="W23" s="72"/>
      <c r="X23" s="72"/>
      <c r="Y23" s="72"/>
      <c r="Z23" s="72"/>
      <c r="AA23" s="72"/>
      <c r="AB23" s="84"/>
      <c r="AC23" s="72"/>
      <c r="AD23" s="84"/>
      <c r="AE23" s="72"/>
      <c r="AF23" s="84"/>
      <c r="AG23" s="72"/>
      <c r="AH23" s="84"/>
      <c r="AI23" s="72"/>
      <c r="AJ23" s="72"/>
      <c r="AK23" s="84"/>
      <c r="AL23" s="72"/>
      <c r="AM23" s="84"/>
      <c r="AN23" s="72"/>
      <c r="AO23" s="72"/>
      <c r="AP23" s="72"/>
      <c r="AQ23" s="84"/>
      <c r="AR23" s="72"/>
      <c r="AS23" s="84"/>
      <c r="AT23" s="72"/>
      <c r="AU23" s="72"/>
      <c r="AV23" s="84"/>
      <c r="AW23" s="72"/>
      <c r="AX23" s="84"/>
    </row>
    <row r="24" spans="1:50" ht="58.5" customHeight="1" x14ac:dyDescent="0.35">
      <c r="A24" s="104" t="s">
        <v>305</v>
      </c>
      <c r="B24" s="104"/>
      <c r="C24" s="104"/>
      <c r="D24" s="104"/>
      <c r="E24" s="104"/>
      <c r="F24" s="104"/>
      <c r="G24" s="104"/>
      <c r="H24" s="104"/>
      <c r="I24" s="104"/>
      <c r="J24" s="104"/>
      <c r="K24" s="104"/>
      <c r="L24" s="104"/>
      <c r="M24" s="104"/>
      <c r="N24" s="104"/>
      <c r="O24" s="104"/>
      <c r="P24" s="104"/>
      <c r="Q24" s="104"/>
      <c r="R24" s="104"/>
      <c r="S24" s="104"/>
      <c r="T24" s="104"/>
      <c r="U24" s="104"/>
      <c r="V24" s="104"/>
      <c r="W24" s="72"/>
      <c r="X24" s="72"/>
      <c r="Y24" s="72"/>
      <c r="Z24" s="72"/>
      <c r="AA24" s="72"/>
      <c r="AB24" s="84"/>
      <c r="AC24" s="72"/>
      <c r="AD24" s="84"/>
      <c r="AE24" s="72"/>
      <c r="AF24" s="84"/>
      <c r="AG24" s="72"/>
      <c r="AH24" s="84"/>
      <c r="AI24" s="72"/>
      <c r="AJ24" s="72"/>
      <c r="AK24" s="84"/>
      <c r="AL24" s="72"/>
      <c r="AM24" s="84"/>
      <c r="AN24" s="72"/>
      <c r="AO24" s="72"/>
      <c r="AP24" s="72"/>
      <c r="AQ24" s="84"/>
      <c r="AR24" s="72"/>
      <c r="AS24" s="84"/>
      <c r="AT24" s="72"/>
      <c r="AU24" s="72"/>
      <c r="AV24" s="84"/>
      <c r="AW24" s="72"/>
      <c r="AX24" s="84"/>
    </row>
    <row r="25" spans="1:50" ht="91.5" customHeight="1" x14ac:dyDescent="0.35">
      <c r="V25" s="71"/>
      <c r="W25" s="72"/>
      <c r="X25" s="72"/>
      <c r="Y25" s="72"/>
      <c r="Z25" s="72"/>
      <c r="AA25" s="72"/>
      <c r="AB25" s="84"/>
      <c r="AC25" s="72"/>
      <c r="AD25" s="84"/>
      <c r="AE25" s="72"/>
      <c r="AF25" s="84"/>
      <c r="AG25" s="72"/>
      <c r="AH25" s="84"/>
      <c r="AI25" s="72"/>
      <c r="AJ25" s="72"/>
      <c r="AK25" s="84"/>
      <c r="AL25" s="72"/>
      <c r="AM25" s="84"/>
      <c r="AN25" s="72"/>
      <c r="AO25" s="72"/>
      <c r="AP25" s="72"/>
      <c r="AQ25" s="84"/>
      <c r="AR25" s="72"/>
      <c r="AS25" s="84"/>
      <c r="AT25" s="72"/>
      <c r="AU25" s="72"/>
      <c r="AV25" s="84"/>
      <c r="AW25" s="72"/>
      <c r="AX25" s="84"/>
    </row>
    <row r="26" spans="1:50" ht="91.5" customHeight="1" x14ac:dyDescent="0.35">
      <c r="V26" s="71"/>
      <c r="W26" s="72"/>
      <c r="X26" s="72"/>
      <c r="Y26" s="72"/>
      <c r="Z26" s="72"/>
      <c r="AA26" s="72"/>
      <c r="AB26" s="84"/>
      <c r="AC26" s="72"/>
      <c r="AD26" s="84"/>
      <c r="AE26" s="72"/>
      <c r="AF26" s="84"/>
      <c r="AG26" s="72"/>
      <c r="AH26" s="84"/>
      <c r="AI26" s="72"/>
      <c r="AJ26" s="72"/>
      <c r="AK26" s="84"/>
      <c r="AL26" s="72"/>
      <c r="AM26" s="84"/>
      <c r="AN26" s="72"/>
      <c r="AO26" s="72"/>
      <c r="AP26" s="72"/>
      <c r="AQ26" s="84"/>
      <c r="AR26" s="72"/>
      <c r="AS26" s="84"/>
      <c r="AT26" s="72"/>
      <c r="AU26" s="72"/>
      <c r="AV26" s="84"/>
      <c r="AW26" s="72"/>
      <c r="AX26" s="84"/>
    </row>
    <row r="27" spans="1:50" ht="91.5" customHeight="1" x14ac:dyDescent="0.35">
      <c r="V27" s="71"/>
      <c r="W27" s="72"/>
      <c r="X27" s="72"/>
      <c r="Y27" s="72"/>
      <c r="Z27" s="72"/>
      <c r="AA27" s="72"/>
      <c r="AB27" s="84"/>
      <c r="AC27" s="72"/>
      <c r="AD27" s="84"/>
      <c r="AE27" s="72"/>
      <c r="AF27" s="84"/>
      <c r="AG27" s="72"/>
      <c r="AH27" s="84"/>
      <c r="AI27" s="72"/>
      <c r="AJ27" s="72"/>
      <c r="AK27" s="84"/>
      <c r="AL27" s="72"/>
      <c r="AM27" s="84"/>
      <c r="AN27" s="72"/>
      <c r="AO27" s="72"/>
      <c r="AP27" s="72"/>
      <c r="AQ27" s="84"/>
      <c r="AR27" s="72"/>
      <c r="AS27" s="84"/>
      <c r="AT27" s="72"/>
      <c r="AU27" s="72"/>
      <c r="AV27" s="84"/>
      <c r="AW27" s="72"/>
      <c r="AX27" s="84"/>
    </row>
    <row r="28" spans="1:50" ht="58.5" customHeight="1" x14ac:dyDescent="0.35">
      <c r="A28" s="104" t="s">
        <v>314</v>
      </c>
      <c r="B28" s="104"/>
      <c r="C28" s="104"/>
      <c r="D28" s="104"/>
      <c r="E28" s="104"/>
      <c r="F28" s="104"/>
      <c r="G28" s="104"/>
      <c r="H28" s="104"/>
      <c r="I28" s="104"/>
      <c r="J28" s="104"/>
      <c r="K28" s="104"/>
      <c r="L28" s="104"/>
      <c r="M28" s="104"/>
      <c r="N28" s="104"/>
      <c r="O28" s="104"/>
      <c r="P28" s="104"/>
      <c r="Q28" s="104"/>
      <c r="R28" s="104"/>
      <c r="S28" s="104"/>
      <c r="T28" s="104"/>
      <c r="U28" s="104"/>
      <c r="V28" s="104"/>
      <c r="W28" s="72"/>
      <c r="X28" s="72"/>
      <c r="Y28" s="72"/>
      <c r="Z28" s="72"/>
      <c r="AA28" s="72"/>
      <c r="AB28" s="84"/>
      <c r="AC28" s="72"/>
      <c r="AD28" s="84"/>
      <c r="AE28" s="72"/>
      <c r="AF28" s="84"/>
      <c r="AG28" s="72"/>
      <c r="AH28" s="84"/>
      <c r="AI28" s="72"/>
      <c r="AJ28" s="72"/>
      <c r="AK28" s="84"/>
      <c r="AL28" s="72"/>
      <c r="AM28" s="84"/>
      <c r="AN28" s="72"/>
      <c r="AO28" s="72"/>
      <c r="AP28" s="72"/>
      <c r="AQ28" s="84"/>
      <c r="AR28" s="72"/>
      <c r="AS28" s="84"/>
      <c r="AT28" s="72"/>
      <c r="AU28" s="72"/>
      <c r="AV28" s="84"/>
      <c r="AW28" s="72"/>
      <c r="AX28" s="84"/>
    </row>
    <row r="29" spans="1:50" ht="114" customHeight="1" x14ac:dyDescent="0.35">
      <c r="V29" s="71"/>
      <c r="W29" s="72"/>
      <c r="X29" s="72"/>
      <c r="Y29" s="72"/>
      <c r="Z29" s="72"/>
      <c r="AA29" s="72"/>
      <c r="AB29" s="84"/>
      <c r="AC29" s="72"/>
      <c r="AD29" s="84"/>
      <c r="AE29" s="72"/>
      <c r="AF29" s="84"/>
      <c r="AG29" s="72"/>
      <c r="AH29" s="84"/>
      <c r="AI29" s="72"/>
      <c r="AJ29" s="72"/>
      <c r="AK29" s="84"/>
      <c r="AL29" s="72"/>
      <c r="AM29" s="84"/>
      <c r="AN29" s="72"/>
      <c r="AO29" s="72"/>
      <c r="AP29" s="72"/>
      <c r="AQ29" s="84"/>
      <c r="AR29" s="72"/>
      <c r="AS29" s="84"/>
      <c r="AT29" s="72"/>
      <c r="AU29" s="72"/>
      <c r="AV29" s="84"/>
      <c r="AW29" s="72"/>
      <c r="AX29" s="84"/>
    </row>
    <row r="30" spans="1:50" ht="114" customHeight="1" x14ac:dyDescent="0.35">
      <c r="V30" s="71"/>
      <c r="W30" s="72"/>
      <c r="X30" s="72"/>
      <c r="Y30" s="72"/>
      <c r="Z30" s="72"/>
      <c r="AA30" s="72"/>
      <c r="AB30" s="84"/>
      <c r="AC30" s="72"/>
      <c r="AD30" s="84"/>
      <c r="AE30" s="72"/>
      <c r="AF30" s="84"/>
      <c r="AG30" s="72"/>
      <c r="AH30" s="84"/>
      <c r="AI30" s="72"/>
      <c r="AJ30" s="72"/>
      <c r="AK30" s="84"/>
      <c r="AL30" s="72"/>
      <c r="AM30" s="84"/>
      <c r="AN30" s="72"/>
      <c r="AO30" s="72"/>
      <c r="AP30" s="72"/>
      <c r="AQ30" s="84"/>
      <c r="AR30" s="72"/>
      <c r="AS30" s="84"/>
      <c r="AT30" s="72"/>
      <c r="AU30" s="72"/>
      <c r="AV30" s="84"/>
      <c r="AW30" s="72"/>
      <c r="AX30" s="84"/>
    </row>
    <row r="31" spans="1:50" ht="114" customHeight="1" x14ac:dyDescent="0.35">
      <c r="V31" s="71"/>
      <c r="W31" s="72"/>
      <c r="X31" s="72"/>
      <c r="Y31" s="72"/>
      <c r="Z31" s="72"/>
      <c r="AA31" s="72"/>
      <c r="AB31" s="84"/>
      <c r="AC31" s="72"/>
      <c r="AD31" s="84"/>
      <c r="AE31" s="72"/>
      <c r="AF31" s="84"/>
      <c r="AG31" s="72"/>
      <c r="AH31" s="84"/>
      <c r="AI31" s="72"/>
      <c r="AJ31" s="72"/>
      <c r="AK31" s="84"/>
      <c r="AL31" s="72"/>
      <c r="AM31" s="84"/>
      <c r="AN31" s="72"/>
      <c r="AO31" s="72"/>
      <c r="AP31" s="72"/>
      <c r="AQ31" s="84"/>
      <c r="AR31" s="72"/>
      <c r="AS31" s="84"/>
      <c r="AT31" s="72"/>
      <c r="AU31" s="72"/>
      <c r="AV31" s="84"/>
      <c r="AW31" s="72"/>
      <c r="AX31" s="84"/>
    </row>
    <row r="32" spans="1:50" ht="58.5" customHeight="1" x14ac:dyDescent="0.35">
      <c r="A32" s="104" t="s">
        <v>384</v>
      </c>
      <c r="B32" s="104"/>
      <c r="C32" s="104"/>
      <c r="D32" s="104"/>
      <c r="E32" s="104"/>
      <c r="F32" s="104"/>
      <c r="G32" s="104"/>
      <c r="H32" s="104"/>
      <c r="I32" s="104"/>
      <c r="J32" s="104"/>
      <c r="K32" s="104"/>
      <c r="L32" s="104"/>
      <c r="M32" s="104"/>
      <c r="N32" s="104"/>
      <c r="O32" s="104"/>
      <c r="P32" s="104"/>
      <c r="Q32" s="104"/>
      <c r="R32" s="104"/>
      <c r="S32" s="104"/>
      <c r="T32" s="104"/>
      <c r="U32" s="104"/>
      <c r="V32" s="104"/>
      <c r="W32" s="72"/>
      <c r="X32" s="72"/>
      <c r="Y32" s="72"/>
      <c r="Z32" s="72"/>
      <c r="AA32" s="72"/>
      <c r="AB32" s="84"/>
      <c r="AC32" s="72"/>
      <c r="AD32" s="84"/>
      <c r="AE32" s="72"/>
      <c r="AF32" s="84"/>
      <c r="AG32" s="72"/>
      <c r="AH32" s="84"/>
      <c r="AI32" s="72"/>
      <c r="AJ32" s="72"/>
      <c r="AK32" s="84"/>
      <c r="AL32" s="72"/>
      <c r="AM32" s="84"/>
      <c r="AN32" s="72"/>
      <c r="AO32" s="72"/>
      <c r="AP32" s="72"/>
      <c r="AQ32" s="84"/>
      <c r="AR32" s="72"/>
      <c r="AS32" s="84"/>
      <c r="AT32" s="72"/>
      <c r="AU32" s="72"/>
      <c r="AV32" s="84"/>
      <c r="AW32" s="72"/>
      <c r="AX32" s="84"/>
    </row>
    <row r="33" spans="1:50" ht="99" customHeight="1" x14ac:dyDescent="0.35">
      <c r="V33" s="71"/>
      <c r="W33" s="72"/>
      <c r="X33" s="72"/>
      <c r="Y33" s="72"/>
      <c r="Z33" s="72"/>
      <c r="AA33" s="72"/>
      <c r="AB33" s="84"/>
      <c r="AC33" s="72"/>
      <c r="AD33" s="84"/>
      <c r="AE33" s="72"/>
      <c r="AF33" s="84"/>
      <c r="AG33" s="72"/>
      <c r="AH33" s="84"/>
      <c r="AI33" s="72"/>
      <c r="AJ33" s="72"/>
      <c r="AK33" s="84"/>
      <c r="AL33" s="72"/>
      <c r="AM33" s="84"/>
      <c r="AN33" s="72"/>
      <c r="AO33" s="72"/>
      <c r="AP33" s="72"/>
      <c r="AQ33" s="84"/>
      <c r="AR33" s="72"/>
      <c r="AS33" s="84"/>
      <c r="AT33" s="72"/>
      <c r="AU33" s="72"/>
      <c r="AV33" s="84"/>
      <c r="AW33" s="72"/>
      <c r="AX33" s="84"/>
    </row>
    <row r="34" spans="1:50" ht="99" customHeight="1" x14ac:dyDescent="0.35">
      <c r="V34" s="71"/>
      <c r="W34" s="72"/>
      <c r="X34" s="72"/>
      <c r="Y34" s="72"/>
      <c r="Z34" s="72"/>
      <c r="AA34" s="72"/>
      <c r="AB34" s="84"/>
      <c r="AC34" s="72"/>
      <c r="AD34" s="84"/>
      <c r="AE34" s="72"/>
      <c r="AF34" s="84"/>
      <c r="AG34" s="72"/>
      <c r="AH34" s="84"/>
      <c r="AI34" s="72"/>
      <c r="AJ34" s="72"/>
      <c r="AK34" s="84"/>
      <c r="AL34" s="72"/>
      <c r="AM34" s="84"/>
      <c r="AN34" s="72"/>
      <c r="AO34" s="72"/>
      <c r="AP34" s="72"/>
      <c r="AQ34" s="84"/>
      <c r="AR34" s="72"/>
      <c r="AS34" s="84"/>
      <c r="AT34" s="72"/>
      <c r="AU34" s="72"/>
      <c r="AV34" s="84"/>
      <c r="AW34" s="72"/>
      <c r="AX34" s="84"/>
    </row>
    <row r="35" spans="1:50" ht="58.5" customHeight="1" x14ac:dyDescent="0.35">
      <c r="A35" s="104" t="s">
        <v>329</v>
      </c>
      <c r="B35" s="104"/>
      <c r="C35" s="104"/>
      <c r="D35" s="104"/>
      <c r="E35" s="104"/>
      <c r="F35" s="104"/>
      <c r="G35" s="104"/>
      <c r="H35" s="104"/>
      <c r="I35" s="104"/>
      <c r="J35" s="104"/>
      <c r="K35" s="104"/>
      <c r="L35" s="104"/>
      <c r="M35" s="104"/>
      <c r="N35" s="104"/>
      <c r="O35" s="104"/>
      <c r="P35" s="104"/>
      <c r="Q35" s="104"/>
      <c r="R35" s="104"/>
      <c r="S35" s="104"/>
      <c r="T35" s="104"/>
      <c r="U35" s="104"/>
      <c r="V35" s="104"/>
      <c r="W35" s="72"/>
      <c r="X35" s="72"/>
      <c r="Y35" s="72"/>
      <c r="Z35" s="72"/>
      <c r="AA35" s="72"/>
      <c r="AB35" s="84"/>
      <c r="AC35" s="72"/>
      <c r="AD35" s="84"/>
      <c r="AE35" s="72"/>
      <c r="AF35" s="84"/>
      <c r="AG35" s="72"/>
      <c r="AH35" s="84"/>
      <c r="AI35" s="72"/>
      <c r="AJ35" s="72"/>
      <c r="AK35" s="84"/>
      <c r="AL35" s="72"/>
      <c r="AM35" s="84"/>
      <c r="AN35" s="72"/>
      <c r="AO35" s="72"/>
      <c r="AP35" s="72"/>
      <c r="AQ35" s="84"/>
      <c r="AR35" s="72"/>
      <c r="AS35" s="84"/>
      <c r="AT35" s="72"/>
      <c r="AU35" s="72"/>
      <c r="AV35" s="84"/>
      <c r="AW35" s="72"/>
      <c r="AX35" s="84"/>
    </row>
    <row r="36" spans="1:50" ht="126.75" customHeight="1" x14ac:dyDescent="0.35">
      <c r="V36" s="71"/>
      <c r="W36" s="72"/>
      <c r="X36" s="72"/>
      <c r="Y36" s="72"/>
      <c r="Z36" s="72"/>
      <c r="AA36" s="72"/>
      <c r="AB36" s="84"/>
      <c r="AC36" s="72"/>
      <c r="AD36" s="84"/>
      <c r="AE36" s="72"/>
      <c r="AF36" s="84"/>
      <c r="AG36" s="72"/>
      <c r="AH36" s="84"/>
      <c r="AI36" s="72"/>
      <c r="AJ36" s="72"/>
      <c r="AK36" s="84"/>
      <c r="AL36" s="72"/>
      <c r="AM36" s="84"/>
      <c r="AN36" s="72"/>
      <c r="AO36" s="72"/>
      <c r="AP36" s="72"/>
      <c r="AQ36" s="84"/>
      <c r="AR36" s="72"/>
      <c r="AS36" s="84"/>
      <c r="AT36" s="72"/>
      <c r="AU36" s="72"/>
      <c r="AV36" s="84"/>
      <c r="AW36" s="72"/>
      <c r="AX36" s="84"/>
    </row>
    <row r="37" spans="1:50" ht="126.75" customHeight="1" x14ac:dyDescent="0.35">
      <c r="V37" s="71"/>
      <c r="W37" s="72"/>
      <c r="X37" s="72"/>
      <c r="Y37" s="72"/>
      <c r="Z37" s="72"/>
      <c r="AA37" s="72"/>
      <c r="AB37" s="84"/>
      <c r="AC37" s="72"/>
      <c r="AD37" s="84"/>
      <c r="AE37" s="72"/>
      <c r="AF37" s="84"/>
      <c r="AG37" s="72"/>
      <c r="AH37" s="84"/>
      <c r="AI37" s="72"/>
      <c r="AJ37" s="72"/>
      <c r="AK37" s="84"/>
      <c r="AL37" s="72"/>
      <c r="AM37" s="84"/>
      <c r="AN37" s="72"/>
      <c r="AO37" s="72"/>
      <c r="AP37" s="72"/>
      <c r="AQ37" s="84"/>
      <c r="AR37" s="72"/>
      <c r="AS37" s="84"/>
      <c r="AT37" s="72"/>
      <c r="AU37" s="72"/>
      <c r="AV37" s="84"/>
      <c r="AW37" s="72"/>
      <c r="AX37" s="84"/>
    </row>
    <row r="38" spans="1:50" ht="58.5" customHeight="1" x14ac:dyDescent="0.35">
      <c r="A38" s="104" t="s">
        <v>338</v>
      </c>
      <c r="B38" s="104"/>
      <c r="C38" s="104"/>
      <c r="D38" s="104"/>
      <c r="E38" s="104"/>
      <c r="F38" s="104"/>
      <c r="G38" s="104"/>
      <c r="H38" s="104"/>
      <c r="I38" s="104"/>
      <c r="J38" s="104"/>
      <c r="K38" s="104"/>
      <c r="L38" s="104"/>
      <c r="M38" s="104"/>
      <c r="N38" s="104"/>
      <c r="O38" s="104"/>
      <c r="P38" s="104"/>
      <c r="Q38" s="104"/>
      <c r="R38" s="104"/>
      <c r="S38" s="104"/>
      <c r="T38" s="104"/>
      <c r="U38" s="104"/>
      <c r="V38" s="104"/>
      <c r="W38" s="72"/>
      <c r="X38" s="72"/>
      <c r="Y38" s="72"/>
      <c r="Z38" s="72"/>
      <c r="AA38" s="72"/>
      <c r="AB38" s="84"/>
      <c r="AC38" s="72"/>
      <c r="AD38" s="84"/>
      <c r="AE38" s="72"/>
      <c r="AF38" s="84"/>
      <c r="AG38" s="72"/>
      <c r="AH38" s="84"/>
      <c r="AI38" s="72"/>
      <c r="AJ38" s="72"/>
      <c r="AK38" s="84"/>
      <c r="AL38" s="72"/>
      <c r="AM38" s="84"/>
      <c r="AN38" s="72"/>
      <c r="AO38" s="72"/>
      <c r="AP38" s="72"/>
      <c r="AQ38" s="84"/>
      <c r="AR38" s="72"/>
      <c r="AS38" s="84"/>
      <c r="AT38" s="72"/>
      <c r="AU38" s="72"/>
      <c r="AV38" s="84"/>
      <c r="AW38" s="72"/>
      <c r="AX38" s="84"/>
    </row>
    <row r="39" spans="1:50" ht="162" customHeight="1" x14ac:dyDescent="0.35">
      <c r="V39" s="71"/>
      <c r="W39" s="72"/>
      <c r="X39" s="72"/>
      <c r="Y39" s="72"/>
      <c r="Z39" s="72"/>
      <c r="AA39" s="72"/>
      <c r="AB39" s="84"/>
      <c r="AC39" s="72"/>
      <c r="AD39" s="84"/>
      <c r="AE39" s="72"/>
      <c r="AF39" s="84"/>
      <c r="AG39" s="72"/>
      <c r="AH39" s="84"/>
      <c r="AI39" s="72"/>
      <c r="AJ39" s="72"/>
      <c r="AK39" s="84"/>
      <c r="AL39" s="72"/>
      <c r="AM39" s="84"/>
      <c r="AN39" s="72"/>
      <c r="AO39" s="72"/>
      <c r="AP39" s="72"/>
      <c r="AQ39" s="84"/>
      <c r="AR39" s="72"/>
      <c r="AS39" s="84"/>
      <c r="AT39" s="72"/>
      <c r="AU39" s="72"/>
      <c r="AV39" s="84"/>
      <c r="AW39" s="72"/>
      <c r="AX39" s="84"/>
    </row>
    <row r="40" spans="1:50" ht="162" customHeight="1" x14ac:dyDescent="0.35">
      <c r="V40" s="71"/>
      <c r="W40" s="72"/>
      <c r="X40" s="72"/>
      <c r="Y40" s="72"/>
      <c r="Z40" s="72"/>
      <c r="AA40" s="72"/>
      <c r="AB40" s="84"/>
      <c r="AC40" s="72"/>
      <c r="AD40" s="84"/>
      <c r="AE40" s="72"/>
      <c r="AF40" s="84"/>
      <c r="AG40" s="72"/>
      <c r="AH40" s="84"/>
      <c r="AI40" s="72"/>
      <c r="AJ40" s="72"/>
      <c r="AK40" s="84"/>
      <c r="AL40" s="72"/>
      <c r="AM40" s="84"/>
      <c r="AN40" s="72"/>
      <c r="AO40" s="72"/>
      <c r="AP40" s="72"/>
      <c r="AQ40" s="84"/>
      <c r="AR40" s="72"/>
      <c r="AS40" s="84"/>
      <c r="AT40" s="72"/>
      <c r="AU40" s="72"/>
      <c r="AV40" s="84"/>
      <c r="AW40" s="72"/>
      <c r="AX40" s="84"/>
    </row>
    <row r="41" spans="1:50" ht="58.5" customHeight="1" x14ac:dyDescent="0.35">
      <c r="A41" s="104" t="s">
        <v>347</v>
      </c>
      <c r="B41" s="104"/>
      <c r="C41" s="104"/>
      <c r="D41" s="104"/>
      <c r="E41" s="104"/>
      <c r="F41" s="104"/>
      <c r="G41" s="104"/>
      <c r="H41" s="104"/>
      <c r="I41" s="104"/>
      <c r="J41" s="104"/>
      <c r="K41" s="104"/>
      <c r="L41" s="104"/>
      <c r="M41" s="104"/>
      <c r="N41" s="104"/>
      <c r="O41" s="104"/>
      <c r="P41" s="104"/>
      <c r="Q41" s="104"/>
      <c r="R41" s="104"/>
      <c r="S41" s="104"/>
      <c r="T41" s="104"/>
      <c r="U41" s="104"/>
      <c r="V41" s="104"/>
      <c r="W41" s="72"/>
      <c r="X41" s="72"/>
      <c r="Y41" s="72"/>
      <c r="Z41" s="72"/>
      <c r="AA41" s="72"/>
      <c r="AB41" s="84"/>
      <c r="AC41" s="72"/>
      <c r="AD41" s="84"/>
      <c r="AE41" s="72"/>
      <c r="AF41" s="84"/>
      <c r="AG41" s="72"/>
      <c r="AH41" s="84"/>
      <c r="AI41" s="72"/>
      <c r="AJ41" s="72"/>
      <c r="AK41" s="84"/>
      <c r="AL41" s="72"/>
      <c r="AM41" s="84"/>
      <c r="AN41" s="72"/>
      <c r="AO41" s="72"/>
      <c r="AP41" s="72"/>
      <c r="AQ41" s="84"/>
      <c r="AR41" s="72"/>
      <c r="AS41" s="84"/>
      <c r="AT41" s="72"/>
      <c r="AU41" s="72"/>
      <c r="AV41" s="84"/>
      <c r="AW41" s="72"/>
      <c r="AX41" s="84"/>
    </row>
    <row r="42" spans="1:50" ht="108" customHeight="1" x14ac:dyDescent="0.35">
      <c r="V42" s="71"/>
      <c r="W42" s="72"/>
      <c r="X42" s="72"/>
      <c r="Y42" s="72"/>
      <c r="Z42" s="72"/>
      <c r="AA42" s="72"/>
      <c r="AB42" s="84"/>
      <c r="AC42" s="72"/>
      <c r="AD42" s="84"/>
      <c r="AE42" s="72"/>
      <c r="AF42" s="84"/>
      <c r="AG42" s="72"/>
      <c r="AH42" s="84"/>
      <c r="AI42" s="72"/>
      <c r="AJ42" s="72"/>
      <c r="AK42" s="84"/>
      <c r="AL42" s="72"/>
      <c r="AM42" s="84"/>
      <c r="AN42" s="72"/>
      <c r="AO42" s="72"/>
      <c r="AP42" s="72"/>
      <c r="AQ42" s="84"/>
      <c r="AR42" s="72"/>
      <c r="AS42" s="84"/>
      <c r="AT42" s="72"/>
      <c r="AU42" s="72"/>
      <c r="AV42" s="84"/>
      <c r="AW42" s="72"/>
      <c r="AX42" s="84"/>
    </row>
    <row r="43" spans="1:50" ht="108" customHeight="1" x14ac:dyDescent="0.35">
      <c r="V43" s="71"/>
      <c r="W43" s="72"/>
      <c r="X43" s="72"/>
      <c r="Y43" s="72"/>
      <c r="Z43" s="72"/>
      <c r="AA43" s="72"/>
      <c r="AB43" s="84"/>
      <c r="AC43" s="72"/>
      <c r="AD43" s="84"/>
      <c r="AE43" s="72"/>
      <c r="AF43" s="84"/>
      <c r="AG43" s="72"/>
      <c r="AH43" s="84"/>
      <c r="AI43" s="72"/>
      <c r="AJ43" s="72"/>
      <c r="AK43" s="84"/>
      <c r="AL43" s="72"/>
      <c r="AM43" s="84"/>
      <c r="AN43" s="72"/>
      <c r="AO43" s="72"/>
      <c r="AP43" s="72"/>
      <c r="AQ43" s="84"/>
      <c r="AR43" s="72"/>
      <c r="AS43" s="84"/>
      <c r="AT43" s="72"/>
      <c r="AU43" s="72"/>
      <c r="AV43" s="84"/>
      <c r="AW43" s="72"/>
      <c r="AX43" s="84"/>
    </row>
  </sheetData>
  <mergeCells count="16">
    <mergeCell ref="AN1:AS1"/>
    <mergeCell ref="AT1:AX1"/>
    <mergeCell ref="A41:V41"/>
    <mergeCell ref="A38:V38"/>
    <mergeCell ref="A35:V35"/>
    <mergeCell ref="A32:V32"/>
    <mergeCell ref="A28:V28"/>
    <mergeCell ref="A24:V24"/>
    <mergeCell ref="A20:V20"/>
    <mergeCell ref="A16:V16"/>
    <mergeCell ref="A13:V13"/>
    <mergeCell ref="W1:AD1"/>
    <mergeCell ref="AE1:AH1"/>
    <mergeCell ref="AI1:AM1"/>
    <mergeCell ref="A1:P1"/>
    <mergeCell ref="A9:AA9"/>
  </mergeCells>
  <pageMargins left="0.23622047244094491" right="0.23622047244094491" top="0.55118110236220474" bottom="0.55118110236220474" header="0.31496062992125984" footer="0.31496062992125984"/>
  <pageSetup paperSize="9" scale="27" fitToHeight="0" orientation="landscape" r:id="rId1"/>
  <headerFooter>
    <oddFooter xml:space="preserve">&amp;R&amp;18חתימת גזבר:_____________   חתימת רשות:_____________    חתמית מנכ"ל:_____________    חתימת יועמ"ש:_____________ </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rightToLeft="1" zoomScale="145" zoomScaleNormal="145" workbookViewId="0"/>
  </sheetViews>
  <sheetFormatPr defaultRowHeight="14.2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theme="9" tint="0.59999389629810485"/>
  </sheetPr>
  <dimension ref="A1:E14"/>
  <sheetViews>
    <sheetView rightToLeft="1" zoomScale="115" zoomScaleNormal="115" workbookViewId="0">
      <selection activeCell="B14" sqref="B14"/>
    </sheetView>
  </sheetViews>
  <sheetFormatPr defaultColWidth="9" defaultRowHeight="14.25" x14ac:dyDescent="0.2"/>
  <cols>
    <col min="1" max="1" width="9" style="24" customWidth="1"/>
    <col min="2" max="2" width="15.875" style="24" bestFit="1" customWidth="1"/>
    <col min="3" max="3" width="11.375" style="24" bestFit="1" customWidth="1"/>
    <col min="4" max="4" width="10.75" style="24" customWidth="1"/>
    <col min="5" max="5" width="9" style="24" customWidth="1"/>
    <col min="6" max="16384" width="9" style="24"/>
  </cols>
  <sheetData>
    <row r="1" spans="1:5" s="23" customFormat="1" ht="14.25" customHeight="1" x14ac:dyDescent="0.2">
      <c r="A1" s="25">
        <v>-1</v>
      </c>
      <c r="B1" s="26" t="s">
        <v>52</v>
      </c>
      <c r="C1" s="27">
        <v>1</v>
      </c>
      <c r="D1" s="27">
        <v>1</v>
      </c>
      <c r="E1" s="28">
        <v>1</v>
      </c>
    </row>
    <row r="2" spans="1:5" s="23" customFormat="1" ht="15" customHeight="1" x14ac:dyDescent="0.2">
      <c r="A2" s="24">
        <v>0</v>
      </c>
      <c r="B2" s="29" t="s">
        <v>53</v>
      </c>
      <c r="C2" s="30">
        <v>1</v>
      </c>
      <c r="D2" s="30">
        <v>1</v>
      </c>
      <c r="E2" s="28">
        <v>1</v>
      </c>
    </row>
    <row r="3" spans="1:5" s="23" customFormat="1" ht="15" customHeight="1" x14ac:dyDescent="0.2">
      <c r="A3" s="24">
        <v>1</v>
      </c>
      <c r="B3" s="31" t="s">
        <v>54</v>
      </c>
      <c r="C3" s="30">
        <v>250</v>
      </c>
      <c r="D3" s="30">
        <v>250</v>
      </c>
      <c r="E3" s="28">
        <v>0</v>
      </c>
    </row>
    <row r="4" spans="1:5" s="23" customFormat="1" ht="15" customHeight="1" x14ac:dyDescent="0.2">
      <c r="A4" s="24">
        <v>2</v>
      </c>
      <c r="B4" s="31" t="s">
        <v>55</v>
      </c>
      <c r="C4" s="30">
        <v>280</v>
      </c>
      <c r="D4" s="30">
        <v>280</v>
      </c>
      <c r="E4" s="28">
        <v>0</v>
      </c>
    </row>
    <row r="5" spans="1:5" s="23" customFormat="1" ht="15" customHeight="1" x14ac:dyDescent="0.2">
      <c r="A5" s="24">
        <v>3</v>
      </c>
      <c r="B5" s="31" t="s">
        <v>56</v>
      </c>
      <c r="C5" s="30">
        <v>220</v>
      </c>
      <c r="D5" s="30">
        <v>220</v>
      </c>
      <c r="E5" s="28">
        <v>0</v>
      </c>
    </row>
    <row r="6" spans="1:5" s="23" customFormat="1" ht="15" customHeight="1" x14ac:dyDescent="0.2">
      <c r="A6" s="24">
        <v>5</v>
      </c>
      <c r="B6" s="29" t="s">
        <v>57</v>
      </c>
      <c r="C6" s="30">
        <v>1</v>
      </c>
      <c r="D6" s="30">
        <v>1</v>
      </c>
      <c r="E6" s="28">
        <v>1</v>
      </c>
    </row>
    <row r="7" spans="1:5" s="23" customFormat="1" ht="15" customHeight="1" x14ac:dyDescent="0.2">
      <c r="A7" s="24">
        <v>6</v>
      </c>
      <c r="B7" s="29" t="s">
        <v>58</v>
      </c>
      <c r="C7" s="30">
        <v>1</v>
      </c>
      <c r="D7" s="30">
        <v>1</v>
      </c>
      <c r="E7" s="28">
        <v>1</v>
      </c>
    </row>
    <row r="8" spans="1:5" s="23" customFormat="1" ht="15" customHeight="1" x14ac:dyDescent="0.2">
      <c r="A8" s="24">
        <v>7</v>
      </c>
      <c r="B8" s="32" t="s">
        <v>59</v>
      </c>
      <c r="C8" s="30">
        <v>222</v>
      </c>
      <c r="D8" s="30">
        <v>222</v>
      </c>
      <c r="E8" s="28">
        <v>0</v>
      </c>
    </row>
    <row r="9" spans="1:5" s="23" customFormat="1" ht="15" customHeight="1" x14ac:dyDescent="0.2">
      <c r="A9" s="24">
        <v>8</v>
      </c>
      <c r="B9" s="32" t="s">
        <v>60</v>
      </c>
      <c r="C9" s="30">
        <v>252</v>
      </c>
      <c r="D9" s="30">
        <v>252</v>
      </c>
      <c r="E9" s="28">
        <v>0</v>
      </c>
    </row>
    <row r="10" spans="1:5" s="23" customFormat="1" ht="15" customHeight="1" x14ac:dyDescent="0.2">
      <c r="A10" s="24">
        <v>9</v>
      </c>
      <c r="B10" s="32" t="s">
        <v>61</v>
      </c>
      <c r="C10" s="30">
        <v>282</v>
      </c>
      <c r="D10" s="30">
        <v>282</v>
      </c>
      <c r="E10" s="28">
        <v>0</v>
      </c>
    </row>
    <row r="11" spans="1:5" s="23" customFormat="1" ht="15" customHeight="1" x14ac:dyDescent="0.2">
      <c r="A11" s="24">
        <v>10</v>
      </c>
      <c r="B11" s="29" t="s">
        <v>62</v>
      </c>
      <c r="C11" s="30">
        <v>1</v>
      </c>
      <c r="D11" s="30">
        <v>1</v>
      </c>
      <c r="E11" s="28">
        <v>1</v>
      </c>
    </row>
    <row r="12" spans="1:5" s="23" customFormat="1" ht="15" customHeight="1" x14ac:dyDescent="0.2">
      <c r="A12" s="24">
        <v>11</v>
      </c>
      <c r="B12" s="29" t="s">
        <v>63</v>
      </c>
      <c r="C12" s="30">
        <v>1</v>
      </c>
      <c r="D12" s="30">
        <v>1</v>
      </c>
      <c r="E12" s="28">
        <v>1</v>
      </c>
    </row>
    <row r="13" spans="1:5" s="23" customFormat="1" ht="15" customHeight="1" x14ac:dyDescent="0.2">
      <c r="A13" s="24">
        <v>19</v>
      </c>
      <c r="B13" s="29" t="s">
        <v>52</v>
      </c>
      <c r="C13" s="30">
        <v>1</v>
      </c>
      <c r="D13" s="30">
        <v>1</v>
      </c>
      <c r="E13" s="28">
        <v>1</v>
      </c>
    </row>
    <row r="14" spans="1:5" s="23" customFormat="1" ht="15" customHeight="1" x14ac:dyDescent="0.25">
      <c r="A14" s="33">
        <v>250</v>
      </c>
      <c r="B14" s="34" t="s">
        <v>64</v>
      </c>
      <c r="C14" s="35">
        <v>46.3</v>
      </c>
      <c r="D14" s="36">
        <v>46.3</v>
      </c>
      <c r="E14" s="37">
        <v>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C98BFCB0C2845044A83D4240BD461484" ma:contentTypeVersion="5" ma:contentTypeDescription="צור מסמך חדש." ma:contentTypeScope="" ma:versionID="b31fb7ba78795eed3a95e9574b836f06">
  <xsd:schema xmlns:xsd="http://www.w3.org/2001/XMLSchema" xmlns:xs="http://www.w3.org/2001/XMLSchema" xmlns:p="http://schemas.microsoft.com/office/2006/metadata/properties" xmlns:ns2="6cfa1939-21f9-418c-8bb5-2617b77977fc" xmlns:ns3="7401a183-276f-499d-b0ea-c07d0f39a75c" targetNamespace="http://schemas.microsoft.com/office/2006/metadata/properties" ma:root="true" ma:fieldsID="a24cb768571da481693f281fbd3ae0f4" ns2:_="" ns3:_="">
    <xsd:import namespace="6cfa1939-21f9-418c-8bb5-2617b77977fc"/>
    <xsd:import namespace="7401a183-276f-499d-b0ea-c07d0f39a75c"/>
    <xsd:element name="properties">
      <xsd:complexType>
        <xsd:sequence>
          <xsd:element name="documentManagement">
            <xsd:complexType>
              <xsd:all>
                <xsd:element ref="ns2:MediaServiceMetadata" minOccurs="0"/>
                <xsd:element ref="ns2:MediaServiceFastMetadata" minOccurs="0"/>
                <xsd:element ref="ns2:Remark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a1939-21f9-418c-8bb5-2617b7797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marks" ma:index="10" nillable="true" ma:displayName="Remarks" ma:internalName="Remark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01a183-276f-499d-b0ea-c07d0f39a75c" elementFormDefault="qualified">
    <xsd:import namespace="http://schemas.microsoft.com/office/2006/documentManagement/types"/>
    <xsd:import namespace="http://schemas.microsoft.com/office/infopath/2007/PartnerControls"/>
    <xsd:element name="SharedWithUsers" ma:index="11"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arks xmlns="6cfa1939-21f9-418c-8bb5-2617b77977fc" xsi:nil="true"/>
  </documentManagement>
</p:properties>
</file>

<file path=customXml/itemProps1.xml><?xml version="1.0" encoding="utf-8"?>
<ds:datastoreItem xmlns:ds="http://schemas.openxmlformats.org/officeDocument/2006/customXml" ds:itemID="{CD969403-3508-4963-8CBF-DA0808CC5E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a1939-21f9-418c-8bb5-2617b77977fc"/>
    <ds:schemaRef ds:uri="7401a183-276f-499d-b0ea-c07d0f39a7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2DC54E-3EF4-411F-B067-F92F2D23A05A}">
  <ds:schemaRefs>
    <ds:schemaRef ds:uri="http://schemas.microsoft.com/sharepoint/v3/contenttype/forms"/>
  </ds:schemaRefs>
</ds:datastoreItem>
</file>

<file path=customXml/itemProps3.xml><?xml version="1.0" encoding="utf-8"?>
<ds:datastoreItem xmlns:ds="http://schemas.openxmlformats.org/officeDocument/2006/customXml" ds:itemID="{D8F75508-F78F-4FA7-A5BF-F340EB90FB23}">
  <ds:schemaRefs>
    <ds:schemaRef ds:uri="http://purl.org/dc/terms/"/>
    <ds:schemaRef ds:uri="http://purl.org/dc/dcmitype/"/>
    <ds:schemaRef ds:uri="http://schemas.microsoft.com/office/2006/metadata/properties"/>
    <ds:schemaRef ds:uri="http://schemas.openxmlformats.org/package/2006/metadata/core-properties"/>
    <ds:schemaRef ds:uri="7401a183-276f-499d-b0ea-c07d0f39a75c"/>
    <ds:schemaRef ds:uri="http://schemas.microsoft.com/office/2006/documentManagement/types"/>
    <ds:schemaRef ds:uri="http://purl.org/dc/elements/1.1/"/>
    <ds:schemaRef ds:uri="6cfa1939-21f9-418c-8bb5-2617b77977f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7</vt:i4>
      </vt:variant>
      <vt:variant>
        <vt:lpstr>טווחים בעלי שם</vt:lpstr>
      </vt:variant>
      <vt:variant>
        <vt:i4>6</vt:i4>
      </vt:variant>
    </vt:vector>
  </HeadingPairs>
  <TitlesOfParts>
    <vt:vector size="13" baseType="lpstr">
      <vt:lpstr>StageData</vt:lpstr>
      <vt:lpstr>AuctionDetails</vt:lpstr>
      <vt:lpstr>הצעות מחיר למתן שירותי היסעים ו</vt:lpstr>
      <vt:lpstr>אשכולות</vt:lpstr>
      <vt:lpstr>מסלולים </vt:lpstr>
      <vt:lpstr>גיליון1</vt:lpstr>
      <vt:lpstr>LT</vt:lpstr>
      <vt:lpstr>LT!_FilterDatabase</vt:lpstr>
      <vt:lpstr>אשכולות!WPrint_Area_W</vt:lpstr>
      <vt:lpstr>'הצעות מחיר למתן שירותי היסעים ו'!WPrint_Area_W</vt:lpstr>
      <vt:lpstr>'מסלולים '!WPrint_Area_W</vt:lpstr>
      <vt:lpstr>אשכולות!WPrint_TitlesW</vt:lpstr>
      <vt:lpstr>'מסלולים '!WPrint_TitlesW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Local Government Economic Company Ltd.</dc:creator>
  <cp:keywords/>
  <dc:description/>
  <cp:lastModifiedBy>User</cp:lastModifiedBy>
  <cp:revision/>
  <cp:lastPrinted>2022-07-17T12:12:06Z</cp:lastPrinted>
  <dcterms:created xsi:type="dcterms:W3CDTF">2010-12-16T12:28:45Z</dcterms:created>
  <dcterms:modified xsi:type="dcterms:W3CDTF">2022-08-08T11:32:52Z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0x010100C98BFCB0C2845044A83D4240BD461484</vt:lpwstr>
  </property>
</Properties>
</file>